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60" windowWidth="15480" windowHeight="8130" tabRatio="948"/>
  </bookViews>
  <sheets>
    <sheet name="12x36N" sheetId="18" r:id="rId1"/>
  </sheets>
  <definedNames>
    <definedName name="_xlnm.Print_Area" localSheetId="0">'12x36N'!$A$1:$E$144</definedName>
    <definedName name="Excel_BuiltIn_Print_Area_1">#REF!</definedName>
    <definedName name="Excel_BuiltIn_Print_Area_2">#REF!</definedName>
    <definedName name="Teste">#REF!</definedName>
  </definedNames>
  <calcPr calcId="145621" iterateDelta="1E-4"/>
</workbook>
</file>

<file path=xl/calcChain.xml><?xml version="1.0" encoding="utf-8"?>
<calcChain xmlns="http://schemas.openxmlformats.org/spreadsheetml/2006/main">
  <c r="C67" i="18" l="1"/>
  <c r="C60" i="18"/>
  <c r="C59" i="18"/>
  <c r="C106" i="18" l="1"/>
  <c r="C40" i="18"/>
  <c r="C38" i="18"/>
  <c r="C22" i="18"/>
  <c r="C29" i="18"/>
  <c r="C28" i="18"/>
  <c r="C17" i="18"/>
  <c r="C19" i="18"/>
  <c r="C18" i="18" s="1"/>
  <c r="C23" i="18" l="1"/>
  <c r="C21" i="18"/>
  <c r="C34" i="18" l="1"/>
  <c r="C118" i="18" s="1"/>
  <c r="C111" i="18"/>
  <c r="C54" i="18"/>
  <c r="C24" i="18"/>
  <c r="D46" i="18" l="1"/>
  <c r="C78" i="18"/>
  <c r="D50" i="18"/>
  <c r="D47" i="18"/>
  <c r="D51" i="18"/>
  <c r="C61" i="18"/>
  <c r="D52" i="18"/>
  <c r="C73" i="18"/>
  <c r="C75" i="18"/>
  <c r="C87" i="18"/>
  <c r="D48" i="18"/>
  <c r="D53" i="18"/>
  <c r="D49" i="18"/>
  <c r="C76" i="18"/>
  <c r="C77" i="18" s="1"/>
  <c r="C86" i="18"/>
  <c r="C84" i="18"/>
  <c r="C83" i="18"/>
  <c r="C117" i="18"/>
  <c r="C85" i="18"/>
  <c r="C41" i="18"/>
  <c r="C119" i="18" s="1"/>
  <c r="D54" i="18" l="1"/>
  <c r="C94" i="18" s="1"/>
  <c r="C68" i="18"/>
  <c r="C69" i="18" s="1"/>
  <c r="C96" i="18" s="1"/>
  <c r="C74" i="18"/>
  <c r="C79" i="18" s="1"/>
  <c r="C97" i="18" s="1"/>
  <c r="C62" i="18"/>
  <c r="C63" i="18" s="1"/>
  <c r="C95" i="18" s="1"/>
  <c r="C89" i="18"/>
  <c r="C90" i="18" s="1"/>
  <c r="C98" i="18" s="1"/>
  <c r="C100" i="18" l="1"/>
  <c r="C120" i="18" l="1"/>
  <c r="C121" i="18" s="1"/>
  <c r="D104" i="18"/>
  <c r="D110" i="18" s="1"/>
  <c r="D108" i="18" s="1"/>
  <c r="D106" i="18" l="1"/>
  <c r="D111" i="18" s="1"/>
  <c r="C122" i="18" s="1"/>
  <c r="C123" i="18" s="1"/>
  <c r="C125" i="18" l="1"/>
  <c r="C124" i="18"/>
</calcChain>
</file>

<file path=xl/comments1.xml><?xml version="1.0" encoding="utf-8"?>
<comments xmlns="http://schemas.openxmlformats.org/spreadsheetml/2006/main">
  <authors>
    <author>FBS</author>
    <author/>
    <author>Luana</author>
    <author>fbrasil</author>
    <author>Franklin Brasil Santos</author>
  </authors>
  <commentList>
    <comment ref="C8" authorId="0">
      <text>
        <r>
          <rPr>
            <sz val="10"/>
            <color indexed="81"/>
            <rFont val="Arial"/>
            <family val="2"/>
          </rPr>
          <t xml:space="preserve">Média de dias no mês = 365/12 = 30,42 dias
Posto 12 x 36 trabalha 1 dia e folga outro. 
Dias trabalhados = 30,42 dias/2 = </t>
        </r>
        <r>
          <rPr>
            <b/>
            <sz val="10"/>
            <color indexed="81"/>
            <rFont val="Arial"/>
            <family val="2"/>
          </rPr>
          <t>15,21 dias/mês</t>
        </r>
      </text>
    </comment>
    <comment ref="C16" authorId="1">
      <text>
        <r>
          <rPr>
            <sz val="10"/>
            <color indexed="8"/>
            <rFont val="Arial"/>
            <family val="2"/>
          </rPr>
          <t>Cláusula 3ª CCT 2016 (SINDES-MT)</t>
        </r>
      </text>
    </comment>
    <comment ref="C17" authorId="1">
      <text>
        <r>
          <rPr>
            <sz val="10"/>
            <color indexed="8"/>
            <rFont val="Arial"/>
            <family val="2"/>
          </rPr>
          <t>Horário Noturno = 22:00h às 05:00h (Súmula 60 do TST estende os efeitos sobre as horas prorrogadas).
Adicional Noturno = 20% do (salário base + periculosidade (OJ TST SDI-1 nº 259)) cf. Cláusula Oitava da CCT 2016. 
Hora Normal = [salário base + periculosidade] / 220h (Cláusula 6ª CCT)
Adicional Noturno = Hora Normal * 20% * 7h * 15,21d</t>
        </r>
      </text>
    </comment>
    <comment ref="C18" authorId="1">
      <text>
        <r>
          <rPr>
            <sz val="10"/>
            <color indexed="8"/>
            <rFont val="Arial"/>
            <family val="2"/>
          </rPr>
          <t>Art. 73, §1º da CLT.
Das 22h as 05h, cada hora equivale a 52m30s, então, numa jornada de 7h, temos 8h a pagar. Aqui se calcula o valor a pagar pela 1h adicional na jornada (com o impacto do Adicional Noturno). 
1 Hora Normal [(Salario Base + Periculosidade)/220] + 20% (Hora Noturna ) * 15,21d (Qtde dias trabalhados)</t>
        </r>
      </text>
    </comment>
    <comment ref="C19" authorId="2">
      <text>
        <r>
          <rPr>
            <sz val="10"/>
            <color indexed="81"/>
            <rFont val="Arial"/>
            <family val="2"/>
          </rPr>
          <t>Adicional de Periculosidade = 30% do salário base 
Art. 1º da Lei 12.740/2012, (alterou art. 193 da CLT), regulamentado pela Portaria nº 1.885/TEM/2013</t>
        </r>
      </text>
    </comment>
    <comment ref="C20" authorId="2">
      <text>
        <r>
          <rPr>
            <sz val="10"/>
            <color indexed="81"/>
            <rFont val="Arial"/>
            <family val="2"/>
          </rPr>
          <t>Não se aplica</t>
        </r>
      </text>
    </comment>
    <comment ref="C21" authorId="3">
      <text>
        <r>
          <rPr>
            <sz val="10"/>
            <color indexed="81"/>
            <rFont val="Tahoma"/>
            <family val="2"/>
          </rPr>
          <t xml:space="preserve">Súmula nº 444 TST (Feriado como Hora Extra (100%) na jornada 12x36)
Estimativa de feriados no ano = 13 (Cláusula Sexta, § 4º da CCT 2016)
Hora Normal = [(Salario Base + Periculosidade)/220h] 
Horas-Extras Feriado por mês (por empregado) = Hora Normal * 13 feriados no ano / 12 meses * 12 horas trabalhadas por dia
</t>
        </r>
      </text>
    </comment>
    <comment ref="C22" authorId="1">
      <text>
        <r>
          <rPr>
            <sz val="10"/>
            <color indexed="8"/>
            <rFont val="Arial"/>
            <family val="2"/>
          </rPr>
          <t>Art. 71, § 4º CLT.
Se não concedida intrajornada, deve ser paga como indenização, com adicional de 50%.
Tem natureza salarial (Súmula 437 TST, item III) 
Hora Normal + 50% * Qtde de dias trabalhados</t>
        </r>
      </text>
    </comment>
    <comment ref="C23" authorId="0">
      <text>
        <r>
          <rPr>
            <sz val="9"/>
            <color indexed="81"/>
            <rFont val="Tahoma"/>
            <family val="2"/>
          </rPr>
          <t>Reflexos do Descanso Semanal Remunerado sobre as verbas variáveis
( Adicional Noturno + Hora Noturna Reduzida + Hora Extra nos feriados ) / 6</t>
        </r>
      </text>
    </comment>
    <comment ref="C28" authorId="1">
      <text>
        <r>
          <rPr>
            <sz val="10"/>
            <color indexed="8"/>
            <rFont val="Arial"/>
            <family val="2"/>
          </rPr>
          <t>(R$ 3,60 (passagem) * 2/dia * Qtde dias trabalhados/mês) - (Salario Base * 6%)</t>
        </r>
      </text>
    </comment>
    <comment ref="C29" authorId="1">
      <text>
        <r>
          <rPr>
            <sz val="10"/>
            <color indexed="8"/>
            <rFont val="Arial"/>
            <family val="2"/>
          </rPr>
          <t>CCT 2016 (12ª e § 1º ) define R$ 14,00/dia com possibilidade de descontar até 2% desse valor como contribuição do funcionário. 
Cálculo: (R$ 14,00 - 2%) * Dias trabalhados no mês)</t>
        </r>
      </text>
    </comment>
    <comment ref="C30" authorId="1">
      <text>
        <r>
          <rPr>
            <sz val="10"/>
            <color indexed="8"/>
            <rFont val="Arial"/>
            <family val="2"/>
          </rPr>
          <t xml:space="preserve">Cláusula 11ª da CCT 2016. Não tem natureza salarial. </t>
        </r>
      </text>
    </comment>
    <comment ref="C31" authorId="1">
      <text>
        <r>
          <rPr>
            <sz val="10"/>
            <color indexed="8"/>
            <rFont val="Arial"/>
            <family val="2"/>
          </rPr>
          <t>CCT 2016 (24ª)</t>
        </r>
      </text>
    </comment>
    <comment ref="C32" authorId="3">
      <text>
        <r>
          <rPr>
            <sz val="10"/>
            <color indexed="81"/>
            <rFont val="Arial"/>
            <family val="2"/>
          </rPr>
          <t>Referência = CADTERC (www.cadterc.sp.gov.br) Caderno de Vigilância 2016, página 16</t>
        </r>
      </text>
    </comment>
    <comment ref="C33" authorId="1">
      <text>
        <r>
          <rPr>
            <sz val="10"/>
            <color indexed="8"/>
            <rFont val="Arial"/>
            <family val="2"/>
          </rPr>
          <t>Não se aplica</t>
        </r>
      </text>
    </comment>
    <comment ref="C38" authorId="3">
      <text>
        <r>
          <rPr>
            <sz val="10"/>
            <color indexed="81"/>
            <rFont val="Arial"/>
            <family val="2"/>
          </rPr>
          <t>Referência: CADTERC (www.cadterc.sp.gov.br) Caderno de Vigilância 2016, pg 28)
O valor de referência (que é calculado por posto) foi dividido por 2, para refletir o custo por empregado</t>
        </r>
      </text>
    </comment>
    <comment ref="C39" authorId="3">
      <text>
        <r>
          <rPr>
            <sz val="10"/>
            <color indexed="81"/>
            <rFont val="Arial"/>
            <family val="2"/>
          </rPr>
          <t>Não se aplica</t>
        </r>
      </text>
    </comment>
    <comment ref="C40" authorId="3">
      <text>
        <r>
          <rPr>
            <sz val="10"/>
            <color indexed="81"/>
            <rFont val="Arial"/>
            <family val="2"/>
          </rPr>
          <t>Referência: CADTERC (www.cadterc.sp.gov.br) Caderno de Vigilância 2016, pg 29)
O valor de referência (que é calculado por posto) foi dividido por 2, para refletir o custo por empregado</t>
        </r>
      </text>
    </comment>
    <comment ref="D46" authorId="0">
      <text>
        <r>
          <rPr>
            <sz val="10"/>
            <color indexed="81"/>
            <rFont val="Arial"/>
            <family val="2"/>
          </rPr>
          <t>Art. 22, Inciso I, da Lei nº 8.212/91.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0">
      <text>
        <r>
          <rPr>
            <sz val="10"/>
            <color indexed="81"/>
            <rFont val="Arial"/>
            <family val="2"/>
          </rPr>
          <t xml:space="preserve">Art. 3º, Lei n.º 8.036/90.
</t>
        </r>
      </text>
    </comment>
    <comment ref="D48" authorId="0">
      <text>
        <r>
          <rPr>
            <sz val="10"/>
            <color indexed="81"/>
            <rFont val="Arial"/>
            <family val="2"/>
          </rPr>
          <t>Decreto n.º 2.318/86</t>
        </r>
      </text>
    </comment>
    <comment ref="D49" authorId="0">
      <text>
        <r>
          <rPr>
            <sz val="10"/>
            <color indexed="81"/>
            <rFont val="Arial"/>
            <family val="2"/>
          </rPr>
          <t xml:space="preserve">Lei n.º 7.787/89 e DL n.º 1.146/70.
</t>
        </r>
      </text>
    </comment>
    <comment ref="D50" authorId="0">
      <text>
        <r>
          <rPr>
            <sz val="10"/>
            <color indexed="81"/>
            <rFont val="Arial"/>
            <family val="2"/>
          </rPr>
          <t xml:space="preserve">Art. 3º, Inciso I, Decreto n.º 87.043/82.
</t>
        </r>
      </text>
    </comment>
    <comment ref="D51" authorId="0">
      <text>
        <r>
          <rPr>
            <sz val="10"/>
            <color indexed="81"/>
            <rFont val="Arial"/>
            <family val="2"/>
          </rPr>
          <t>Art. 15, Lei nº 8.030/90 e Art. 7º, III, CF.</t>
        </r>
      </text>
    </comment>
    <comment ref="D52" authorId="4">
      <text>
        <r>
          <rPr>
            <sz val="10"/>
            <color indexed="81"/>
            <rFont val="Arial"/>
            <family val="2"/>
          </rPr>
          <t xml:space="preserve">RAT x FAP. 
1) RAT = 3% (Limpeza em prédios e em domicílios - código 8121-4/00 do Anexo V do Decreto n.º 3.048/1999). 
2) FAP = Máximo de Fator de Acidente Previdenciário = 2:
3% x 2 = 6% (maior valor possível)
</t>
        </r>
        <r>
          <rPr>
            <b/>
            <sz val="10"/>
            <color indexed="81"/>
            <rFont val="Arial"/>
            <family val="2"/>
          </rPr>
          <t>A empresa deve utilizar o seu FAP efetivo, a ser comprovado no envio de sua proposta adequada ao lance vencedor, mediante apresentação da GFIP ou outro documento apto a fazê-lo.</t>
        </r>
      </text>
    </comment>
    <comment ref="D53" authorId="0">
      <text>
        <r>
          <rPr>
            <sz val="10"/>
            <color indexed="81"/>
            <rFont val="Arial"/>
            <family val="2"/>
          </rPr>
          <t>Art. 8º, Lei n.º 8.029/90 e Lei n.º 8.154/90.</t>
        </r>
      </text>
    </comment>
    <comment ref="C59" authorId="2">
      <text>
        <r>
          <rPr>
            <sz val="10"/>
            <color indexed="81"/>
            <rFont val="Arial"/>
            <family val="2"/>
          </rPr>
          <t>13º = 1 remuneração por ano
Cálculo = 1 / 12 = 8,33%</t>
        </r>
      </text>
    </comment>
    <comment ref="C60" authorId="2">
      <text>
        <r>
          <rPr>
            <sz val="10"/>
            <color indexed="81"/>
            <rFont val="Arial"/>
            <family val="2"/>
          </rPr>
          <t>Adicional de Férias = 1/3 de uma remuneração. 
Cálculo = (1/3) / 12</t>
        </r>
      </text>
    </comment>
    <comment ref="C62" authorId="2">
      <text>
        <r>
          <rPr>
            <sz val="10"/>
            <color indexed="81"/>
            <rFont val="Arial"/>
            <family val="2"/>
          </rPr>
          <t>Encargos Previdenciários e FGTS sobre 13º e Adicional de Férias.
Subtotal 4.2 * Percentual Total Modulo 4.1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7" authorId="2">
      <text>
        <r>
          <rPr>
            <sz val="10"/>
            <color indexed="81"/>
            <rFont val="Arial"/>
            <family val="2"/>
          </rPr>
          <t>Valores pagos durante a Licença: 
(Adicional Férias + 13º Salário + Seguro de Vida) * 4 meses de licença * 30% de mulheres na atividade (fator considera observação de que historicamente e em outros contratos as funções de vigilância são executadas majoritariamente por homens) * 6,06% de taxa de maternidade em MT
Esse custo é dividido por 12, para refletir o impacto mensal do custo</t>
        </r>
      </text>
    </comment>
    <comment ref="C68" authorId="2">
      <text>
        <r>
          <rPr>
            <sz val="10"/>
            <color indexed="81"/>
            <rFont val="Arial"/>
            <family val="2"/>
          </rPr>
          <t>Encargos Previdenciários e FGTS sobre Afastamento Maternidade.
Subtotal 4.3 * Percentual Total Modulo 4.1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2">
      <text>
        <r>
          <rPr>
            <sz val="10"/>
            <color indexed="81"/>
            <rFont val="Arial"/>
            <family val="2"/>
          </rPr>
          <t>{[0,05 x (1/12)] x100} = 0,417%
Considerando 5% de empregados substituídos durante o contrato</t>
        </r>
      </text>
    </comment>
    <comment ref="C74" authorId="0">
      <text>
        <r>
          <rPr>
            <sz val="10"/>
            <color indexed="81"/>
            <rFont val="Arial"/>
            <family val="2"/>
          </rPr>
          <t>Aviso prévio indenizado * Percentual Total do Submódulo 4.1</t>
        </r>
      </text>
    </comment>
    <comment ref="C75" authorId="2">
      <text>
        <r>
          <rPr>
            <sz val="10"/>
            <color indexed="81"/>
            <rFont val="Arial"/>
            <family val="2"/>
          </rPr>
          <t>Remuneração * (8% de FGTS) * 50% de multa do FGTS * 5% de funcionários demitidos com aviso prévio indenizado * (1/12 = provisão mensal)</t>
        </r>
      </text>
    </comment>
    <comment ref="C76" authorId="2">
      <text>
        <r>
          <rPr>
            <sz val="10"/>
            <color indexed="81"/>
            <rFont val="Arial"/>
            <family val="2"/>
          </rPr>
          <t>{[(7/30)/12]x100} = 1,944%
7 dias de folga / 30 dias / 12 meses (vigência inicial do contrato) = provisão mensal para esse item de custo * remuneração mensal</t>
        </r>
      </text>
    </comment>
    <comment ref="C77" authorId="0">
      <text>
        <r>
          <rPr>
            <sz val="10"/>
            <color indexed="81"/>
            <rFont val="Arial"/>
            <family val="2"/>
          </rPr>
          <t xml:space="preserve">Aviso prévio trabalhado * Percentual Total do Submódulo 4.1
</t>
        </r>
      </text>
    </comment>
    <comment ref="C78" authorId="2">
      <text>
        <r>
          <rPr>
            <sz val="10"/>
            <color indexed="81"/>
            <rFont val="Arial"/>
            <family val="2"/>
          </rPr>
          <t>Remuneração * 12 meses * (8% de FGTS) * 50% de multa do FGTS</t>
        </r>
      </text>
    </comment>
    <comment ref="C83" authorId="2">
      <text>
        <r>
          <rPr>
            <sz val="10"/>
            <color indexed="81"/>
            <rFont val="Arial"/>
            <family val="2"/>
          </rPr>
          <t>Manual de Preenchimento de Planilhas do MPOG 2011 (pg 26): 8,93%</t>
        </r>
      </text>
    </comment>
    <comment ref="C84" authorId="2">
      <text>
        <r>
          <rPr>
            <sz val="10"/>
            <color indexed="81"/>
            <rFont val="Arial"/>
            <family val="2"/>
          </rPr>
          <t>Manual de Preenchimento de Planilhas do MPOG 2011 (pg 27): 1,66%</t>
        </r>
      </text>
    </comment>
    <comment ref="C85" authorId="2">
      <text>
        <r>
          <rPr>
            <sz val="10"/>
            <color indexed="81"/>
            <rFont val="Arial"/>
            <family val="2"/>
          </rPr>
          <t>Manual de Preenchimento de Planilhas do MPOG 2011 (pg 27): 0,2%</t>
        </r>
      </text>
    </comment>
    <comment ref="C86" authorId="2">
      <text>
        <r>
          <rPr>
            <sz val="10"/>
            <color indexed="81"/>
            <rFont val="Arial"/>
            <family val="2"/>
          </rPr>
          <t>Acordao TCU 1753-2008: Calcula, segundo estimativas do MPOG, em 2,96 dias por ano as ausências legais, calculando em 0,73% o impacto</t>
        </r>
      </text>
    </comment>
    <comment ref="C87" authorId="2">
      <text>
        <r>
          <rPr>
            <sz val="10"/>
            <color indexed="81"/>
            <rFont val="Arial"/>
            <family val="2"/>
          </rPr>
          <t>Manual de Preenchimento de Planilhas do MPOG 2011 (pg 28): 0,03%</t>
        </r>
      </text>
    </comment>
    <comment ref="C89" authorId="0">
      <text>
        <r>
          <rPr>
            <sz val="10"/>
            <color indexed="81"/>
            <rFont val="Arial"/>
            <family val="2"/>
          </rPr>
          <t>Soma do Custo de Reposição * Percentual total de submódulo 4.1</t>
        </r>
      </text>
    </comment>
    <comment ref="C104" authorId="2">
      <text>
        <r>
          <rPr>
            <sz val="10"/>
            <color indexed="81"/>
            <rFont val="Arial"/>
            <family val="2"/>
          </rPr>
          <t xml:space="preserve">Referência: Edital de Vigilância do TCU em MT (Pregão 19/2016) 
Esse percentual é compatível com o Caderno de Vigilância do MPOG para MT 2015, que usa 6%
</t>
        </r>
      </text>
    </comment>
    <comment ref="D104" authorId="4">
      <text>
        <r>
          <rPr>
            <sz val="10"/>
            <color indexed="81"/>
            <rFont val="Arial"/>
            <family val="2"/>
          </rPr>
          <t>Custos indiretos incidem sobre o total de Remuneração + Benefícios + Encargos + Insumos</t>
        </r>
      </text>
    </comment>
    <comment ref="B105" authorId="2">
      <text>
        <r>
          <rPr>
            <sz val="10"/>
            <color indexed="81"/>
            <rFont val="Tahoma"/>
            <family val="2"/>
          </rPr>
          <t>O percentual de tributos é aplicado sobre o faturamento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6" authorId="2">
      <text>
        <r>
          <rPr>
            <sz val="10"/>
            <color indexed="81"/>
            <rFont val="Arial"/>
            <family val="2"/>
          </rPr>
          <t>Referência: Os tributos (COFINS e PIS) foram definidos em função do inciso I, do art. 10 da Lei 10.833/2003 e 10.637/2002, que determina essa tributação para as empresas de vigilância, mesmo que optarem pelo Lucro Real.</t>
        </r>
      </text>
    </comment>
    <comment ref="D106" authorId="2">
      <text>
        <r>
          <rPr>
            <sz val="10"/>
            <color indexed="81"/>
            <rFont val="Arial"/>
            <family val="2"/>
          </rPr>
          <t>Apuração do Coeficiente:
1-([Federais + Municipais]/100) = "Coeficiente"
Cálculo:
Faturamento/Coeficiente x Aliquota</t>
        </r>
      </text>
    </comment>
    <comment ref="C108" authorId="2">
      <text>
        <r>
          <rPr>
            <sz val="10"/>
            <color indexed="81"/>
            <rFont val="Arial"/>
            <family val="2"/>
          </rPr>
          <t>Manual de Preenchimento de Planilhas do MPOG 2011 (pg 33): 5,0%</t>
        </r>
      </text>
    </comment>
    <comment ref="D108" authorId="2">
      <text>
        <r>
          <rPr>
            <sz val="10"/>
            <color indexed="81"/>
            <rFont val="Arial"/>
            <family val="2"/>
          </rPr>
          <t>Apuração do Coeficiente:
1-([Federais + Municipais]/100) = "Coeficiente"
Cálculo:
Faturamento/Coeficiente x Aliquota</t>
        </r>
      </text>
    </comment>
    <comment ref="C110" authorId="2">
      <text>
        <r>
          <rPr>
            <sz val="10"/>
            <color indexed="81"/>
            <rFont val="Arial"/>
            <family val="2"/>
          </rPr>
          <t>Referência: Edital de Vigilância do TCU em MT (Pregão 19/2016) 
Esse percentual é compatível com o Caderno de Vigilância do MPOG para MT 2015, que usa 8,51%</t>
        </r>
      </text>
    </comment>
  </commentList>
</comments>
</file>

<file path=xl/sharedStrings.xml><?xml version="1.0" encoding="utf-8"?>
<sst xmlns="http://schemas.openxmlformats.org/spreadsheetml/2006/main" count="126" uniqueCount="109">
  <si>
    <t>Insumos Diversos</t>
  </si>
  <si>
    <t>Total de Insumos Diversos</t>
  </si>
  <si>
    <t>FATOR K</t>
  </si>
  <si>
    <t>%</t>
  </si>
  <si>
    <t>TOTAL</t>
  </si>
  <si>
    <t>Salário Base</t>
  </si>
  <si>
    <t>Periculosidade</t>
  </si>
  <si>
    <t>Insalubridade</t>
  </si>
  <si>
    <t>MÓDULO 1 : COMPOSIÇÃO DA REMUNERAÇÃO</t>
  </si>
  <si>
    <t>MÓDULO 2: BENEFÍCIOS MENSAIS E DIÁRIOS</t>
  </si>
  <si>
    <t>Transporte</t>
  </si>
  <si>
    <t>Auxílio Alimentação</t>
  </si>
  <si>
    <t>MÓDULO 3: INSUMOS DIVERSOS</t>
  </si>
  <si>
    <t>Uniformes</t>
  </si>
  <si>
    <t>Equipamentos</t>
  </si>
  <si>
    <t>MÓDULO 4: ENCARGOS SOCIAIS E TRABALHISTAS</t>
  </si>
  <si>
    <t>Submódulo 4.1 - Encargos previdenciários e FGTS:</t>
  </si>
  <si>
    <t>Tipo de serviço</t>
  </si>
  <si>
    <t>Salário Normativo da Categoria Profissional</t>
  </si>
  <si>
    <t xml:space="preserve">Categoria profissional </t>
  </si>
  <si>
    <t>Data base da categoria</t>
  </si>
  <si>
    <t>Composição da Remuneração</t>
  </si>
  <si>
    <t>Valor(R$)</t>
  </si>
  <si>
    <t>Total de Remuneração</t>
  </si>
  <si>
    <t>Total de Benefícios Mensais e Diários</t>
  </si>
  <si>
    <t>Benefícios Mensais e Diários</t>
  </si>
  <si>
    <t>Encargos previdenciários e FGTS</t>
  </si>
  <si>
    <t>INSS</t>
  </si>
  <si>
    <t>SESI ou SESC</t>
  </si>
  <si>
    <t>SENAI ou SENAC</t>
  </si>
  <si>
    <t>INCRA</t>
  </si>
  <si>
    <t>Salário Educação</t>
  </si>
  <si>
    <t>FGTS</t>
  </si>
  <si>
    <t>Seguro acidente do trabalho</t>
  </si>
  <si>
    <t>SEBRAE</t>
  </si>
  <si>
    <t>Itens não aplicáveis a Optantes do SIMPLES</t>
  </si>
  <si>
    <t>13º Salário e Adicional de Férias</t>
  </si>
  <si>
    <t>Adicional de Férias</t>
  </si>
  <si>
    <t>Subtotal</t>
  </si>
  <si>
    <t>Incidência do Submódulo 4.1 sobre 13º Salário e Adicional de Férias</t>
  </si>
  <si>
    <t>13º Salário</t>
  </si>
  <si>
    <t>Submódulo 4.2 - 13º Salário e Adicional de Férias</t>
  </si>
  <si>
    <t>Submódulo 4.3 - Afastamento Maternidade</t>
  </si>
  <si>
    <t>Afastamento Maternidade</t>
  </si>
  <si>
    <t>Afastamento maternidade</t>
  </si>
  <si>
    <t>Incidência do Submódulo 4.1 sobre afastamento maternidade</t>
  </si>
  <si>
    <t>Submódulo 4.4 - Provisão para Rescisão</t>
  </si>
  <si>
    <t>Provisão para Rescisão</t>
  </si>
  <si>
    <t>Aviso prévio indenizado</t>
  </si>
  <si>
    <t>Incidência do submódulo 4.1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</si>
  <si>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</si>
  <si>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</si>
  <si>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</si>
  <si>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</si>
  <si>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Submódulo 4.5 - Custo de Reposição do Profissional Ausente</t>
  </si>
  <si>
    <t>Custo de Reposição do Profissional Ausente</t>
  </si>
  <si>
    <t>Férias</t>
  </si>
  <si>
    <t>Ausência por doença</t>
  </si>
  <si>
    <t>Licença paternidade</t>
  </si>
  <si>
    <t>Ausências legais</t>
  </si>
  <si>
    <t>Ausência por Acidente de trabalho</t>
  </si>
  <si>
    <t>Incidência do submódulo 4.1 sobre o Custo de reposição</t>
  </si>
  <si>
    <t>Quadro - resumo - Módulo 4 - Encargos sociais e trabalhistas</t>
  </si>
  <si>
    <t>Módulo 4 - Encargos sociais e trabalhistas</t>
  </si>
  <si>
    <t>4.2 Encargos previdenciários e FGTS</t>
  </si>
  <si>
    <t>4.3 Afastamento maternidade</t>
  </si>
  <si>
    <t>4.4 Custo de rescisão</t>
  </si>
  <si>
    <t>4.5 Custo de reposição do profissional ausente</t>
  </si>
  <si>
    <t>4.6 Outros (especificar)</t>
  </si>
  <si>
    <t>MÓDULO 5: CUSTOS INDIRETOS, TRIBUTOS E LUCRO</t>
  </si>
  <si>
    <t>Custos Indiretos, Tributos e Lucro</t>
  </si>
  <si>
    <t>A) Custos Indiretos</t>
  </si>
  <si>
    <t>B) Tributos</t>
  </si>
  <si>
    <t>B.2) Tributos Estaduais (especificar)</t>
  </si>
  <si>
    <t>B.4) Outros tributos (especificar)</t>
  </si>
  <si>
    <t>C) Lucro</t>
  </si>
  <si>
    <t>4.1 13º salário + Adicional de férias</t>
  </si>
  <si>
    <t>B.3) Tributos Municipais (ISS = 5,0%)</t>
  </si>
  <si>
    <t>ANEXO B</t>
  </si>
  <si>
    <t>Quadro-resumo do Custo por Empregado</t>
  </si>
  <si>
    <t>Mão-de-obra vinculada à execução contratual (valor por empregado)</t>
  </si>
  <si>
    <t>Subtotal (A + B +C+ D)</t>
  </si>
  <si>
    <t>Valor total por empregado</t>
  </si>
  <si>
    <t>A) Módulo 1 - Composição da Remuneração</t>
  </si>
  <si>
    <t>B) Módulo 2 - Benefícios Mensais e Diários</t>
  </si>
  <si>
    <t>C) Módulo 3 - Insumos Diversos (uniformes, materiais, equiptos e outros)</t>
  </si>
  <si>
    <t>D) Módulo 4 - Encargos Sociais e Trabalhistas</t>
  </si>
  <si>
    <t>E) Módulo 5 - Custos indiretos, tributos e lucro</t>
  </si>
  <si>
    <t>Adicional noturno</t>
  </si>
  <si>
    <t>Adicional de Hora Extra</t>
  </si>
  <si>
    <t>Intrajornada</t>
  </si>
  <si>
    <t>Prêmio Assiduidade</t>
  </si>
  <si>
    <t>Programa Assist Social</t>
  </si>
  <si>
    <t>Outros</t>
  </si>
  <si>
    <t>Materiais</t>
  </si>
  <si>
    <t>ANEXO 
MÃO-DE-OBRA
MÃO-DE-OBRA VINCULADA À EXECUÇÃO CONTRATUAL</t>
  </si>
  <si>
    <t>Cesta Básica</t>
  </si>
  <si>
    <t>Quantidade de Dias Trabalhados por Mês</t>
  </si>
  <si>
    <t>Data de Apresentação da Proposta</t>
  </si>
  <si>
    <t>Pregão nº</t>
  </si>
  <si>
    <t>Vigilância Armada 12x36 Noturno</t>
  </si>
  <si>
    <t>Vigilante (CCT Sindesp-MT)</t>
  </si>
  <si>
    <t>Turno de Trabalho</t>
  </si>
  <si>
    <t>17:00h - 05:00h</t>
  </si>
  <si>
    <t>Hora Noturna Reduzida</t>
  </si>
  <si>
    <t>DSR sobre verbas variáveis (Ad Not + Hora Not Red + Hora Extra)</t>
  </si>
  <si>
    <t>Seguro de Vida em Grupo</t>
  </si>
  <si>
    <t>B.1) Tributos Federais (PIS = 0,65% e COFINS = 3%)</t>
  </si>
  <si>
    <t>Valor total DO 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</si>
</sst>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sz val="9"/>
      <color indexed="81"/>
      <name val="Tahoma"/>
      <family val="2"/>
    </font>
    <font>
      <sz val="10"/>
      <color indexed="20"/>
      <name val="Arial"/>
      <family val="2"/>
    </font>
    <font>
      <b/>
      <sz val="10"/>
      <color indexed="81"/>
      <name val="Arial"/>
      <family val="2"/>
    </font>
    <font>
      <sz val="11"/>
      <color theme="1"/>
      <name val="Calibri"/>
      <family val="2"/>
      <scheme val="minor"/>
    </font>
    <font>
      <b/>
      <sz val="15"/>
      <color rgb="FF003366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333399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2" fillId="23" borderId="4" applyNumberFormat="0" applyAlignment="0" applyProtection="0"/>
    <xf numFmtId="9" fontId="1" fillId="0" borderId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166" fontId="22" fillId="0" borderId="0" applyFill="0" applyBorder="0" applyAlignment="0" applyProtection="0"/>
    <xf numFmtId="0" fontId="29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0" fillId="0" borderId="65" applyAlignment="0" applyProtection="0"/>
  </cellStyleXfs>
  <cellXfs count="152">
    <xf numFmtId="0" fontId="0" fillId="0" borderId="0" xfId="0"/>
    <xf numFmtId="0" fontId="19" fillId="24" borderId="0" xfId="0" applyFont="1" applyFill="1" applyAlignment="1">
      <alignment vertical="center"/>
    </xf>
    <xf numFmtId="0" fontId="19" fillId="24" borderId="0" xfId="0" applyFont="1" applyFill="1" applyAlignment="1">
      <alignment horizontal="center" vertical="center"/>
    </xf>
    <xf numFmtId="0" fontId="19" fillId="24" borderId="0" xfId="0" applyFont="1" applyFill="1" applyAlignment="1" applyProtection="1">
      <alignment vertical="center"/>
    </xf>
    <xf numFmtId="0" fontId="19" fillId="24" borderId="0" xfId="0" applyFont="1" applyFill="1" applyAlignment="1" applyProtection="1">
      <alignment horizontal="center" vertical="center"/>
    </xf>
    <xf numFmtId="0" fontId="21" fillId="24" borderId="0" xfId="0" applyFont="1" applyFill="1" applyAlignment="1">
      <alignment vertical="center"/>
    </xf>
    <xf numFmtId="39" fontId="19" fillId="24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</xf>
    <xf numFmtId="0" fontId="22" fillId="24" borderId="11" xfId="0" applyFont="1" applyFill="1" applyBorder="1" applyAlignment="1">
      <alignment vertical="center"/>
    </xf>
    <xf numFmtId="0" fontId="22" fillId="24" borderId="12" xfId="0" applyFont="1" applyFill="1" applyBorder="1" applyAlignment="1">
      <alignment vertical="center"/>
    </xf>
    <xf numFmtId="0" fontId="19" fillId="24" borderId="0" xfId="0" applyFont="1" applyFill="1" applyBorder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2" fillId="24" borderId="0" xfId="0" applyFont="1" applyFill="1" applyBorder="1" applyAlignment="1">
      <alignment vertical="center"/>
    </xf>
    <xf numFmtId="0" fontId="19" fillId="24" borderId="0" xfId="0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vertical="center"/>
    </xf>
    <xf numFmtId="0" fontId="22" fillId="0" borderId="12" xfId="0" applyFont="1" applyBorder="1" applyAlignment="1">
      <alignment horizontal="justify" vertical="top" wrapText="1"/>
    </xf>
    <xf numFmtId="0" fontId="20" fillId="0" borderId="15" xfId="0" applyFont="1" applyBorder="1" applyAlignment="1">
      <alignment horizontal="justify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22" fillId="0" borderId="11" xfId="0" applyFont="1" applyBorder="1" applyAlignment="1">
      <alignment horizontal="justify" vertical="top" wrapText="1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27" fillId="24" borderId="0" xfId="0" applyFont="1" applyFill="1" applyBorder="1" applyAlignment="1">
      <alignment vertical="center"/>
    </xf>
    <xf numFmtId="0" fontId="27" fillId="0" borderId="12" xfId="0" applyFont="1" applyBorder="1" applyAlignment="1">
      <alignment horizontal="justify" vertical="top" wrapText="1"/>
    </xf>
    <xf numFmtId="0" fontId="27" fillId="24" borderId="18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9" fontId="1" fillId="24" borderId="0" xfId="33" applyFill="1" applyAlignment="1" applyProtection="1">
      <alignment vertical="center"/>
    </xf>
    <xf numFmtId="0" fontId="20" fillId="0" borderId="12" xfId="0" applyFont="1" applyBorder="1" applyAlignment="1">
      <alignment horizontal="justify" vertical="top" wrapText="1"/>
    </xf>
    <xf numFmtId="9" fontId="1" fillId="24" borderId="0" xfId="33" applyFill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 wrapText="1"/>
    </xf>
    <xf numFmtId="166" fontId="22" fillId="24" borderId="0" xfId="44" applyFill="1" applyAlignment="1">
      <alignment horizontal="center" vertical="center"/>
    </xf>
    <xf numFmtId="0" fontId="0" fillId="0" borderId="12" xfId="0" applyBorder="1" applyAlignment="1">
      <alignment horizontal="justify" vertical="top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/>
    </xf>
    <xf numFmtId="14" fontId="22" fillId="24" borderId="0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0" fillId="24" borderId="63" xfId="0" applyFont="1" applyFill="1" applyBorder="1" applyAlignment="1">
      <alignment vertical="center"/>
    </xf>
    <xf numFmtId="0" fontId="20" fillId="24" borderId="62" xfId="0" applyFont="1" applyFill="1" applyBorder="1" applyAlignment="1">
      <alignment horizontal="left" vertical="center" wrapText="1"/>
    </xf>
    <xf numFmtId="0" fontId="20" fillId="24" borderId="64" xfId="0" applyFont="1" applyFill="1" applyBorder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/>
    </xf>
    <xf numFmtId="10" fontId="1" fillId="24" borderId="0" xfId="33" applyNumberFormat="1" applyFill="1" applyAlignment="1" applyProtection="1">
      <alignment horizontal="center" vertical="center"/>
    </xf>
    <xf numFmtId="166" fontId="22" fillId="24" borderId="0" xfId="44" applyFill="1" applyAlignment="1" applyProtection="1">
      <alignment horizontal="center" vertical="center"/>
    </xf>
    <xf numFmtId="166" fontId="22" fillId="24" borderId="0" xfId="44" applyFill="1" applyAlignment="1" applyProtection="1">
      <alignment vertical="center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0" fillId="24" borderId="18" xfId="0" applyNumberFormat="1" applyFill="1" applyBorder="1" applyAlignment="1">
      <alignment horizontal="center" vertical="center"/>
    </xf>
    <xf numFmtId="49" fontId="22" fillId="24" borderId="18" xfId="0" applyNumberFormat="1" applyFont="1" applyFill="1" applyBorder="1" applyAlignment="1">
      <alignment horizontal="center" vertical="center"/>
    </xf>
    <xf numFmtId="49" fontId="22" fillId="24" borderId="25" xfId="0" applyNumberFormat="1" applyFont="1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24" borderId="25" xfId="0" applyFont="1" applyFill="1" applyBorder="1" applyAlignment="1">
      <alignment horizontal="center" vertical="center"/>
    </xf>
    <xf numFmtId="14" fontId="22" fillId="24" borderId="22" xfId="0" applyNumberFormat="1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horizontal="center" vertical="center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0" fillId="24" borderId="58" xfId="0" applyFont="1" applyFill="1" applyBorder="1" applyAlignment="1">
      <alignment horizontal="center" vertical="center"/>
    </xf>
    <xf numFmtId="0" fontId="0" fillId="24" borderId="59" xfId="0" applyFont="1" applyFill="1" applyBorder="1" applyAlignment="1">
      <alignment horizontal="center" vertical="center"/>
    </xf>
    <xf numFmtId="0" fontId="0" fillId="24" borderId="60" xfId="0" applyFont="1" applyFill="1" applyBorder="1" applyAlignment="1">
      <alignment horizontal="center" vertical="center"/>
    </xf>
    <xf numFmtId="0" fontId="20" fillId="24" borderId="62" xfId="0" applyFont="1" applyFill="1" applyBorder="1" applyAlignment="1">
      <alignment horizontal="center" vertical="center"/>
    </xf>
    <xf numFmtId="0" fontId="20" fillId="24" borderId="53" xfId="0" applyFont="1" applyFill="1" applyBorder="1" applyAlignment="1">
      <alignment horizontal="center" vertical="center"/>
    </xf>
    <xf numFmtId="0" fontId="20" fillId="24" borderId="54" xfId="0" applyFont="1" applyFill="1" applyBorder="1" applyAlignment="1">
      <alignment horizontal="center" vertical="center"/>
    </xf>
    <xf numFmtId="0" fontId="20" fillId="24" borderId="58" xfId="0" applyFont="1" applyFill="1" applyBorder="1" applyAlignment="1">
      <alignment horizontal="center" vertical="center"/>
    </xf>
    <xf numFmtId="0" fontId="20" fillId="24" borderId="59" xfId="0" applyFont="1" applyFill="1" applyBorder="1" applyAlignment="1">
      <alignment horizontal="center" vertical="center"/>
    </xf>
    <xf numFmtId="0" fontId="20" fillId="24" borderId="60" xfId="0" applyFont="1" applyFill="1" applyBorder="1" applyAlignment="1">
      <alignment horizontal="center" vertical="center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39" fontId="0" fillId="0" borderId="32" xfId="0" applyNumberFormat="1" applyFont="1" applyBorder="1" applyAlignment="1" applyProtection="1">
      <alignment horizontal="center" vertical="center"/>
      <protection locked="0"/>
    </xf>
    <xf numFmtId="39" fontId="0" fillId="0" borderId="30" xfId="0" applyNumberFormat="1" applyFont="1" applyBorder="1" applyAlignment="1" applyProtection="1">
      <alignment horizontal="center" vertical="center"/>
      <protection locked="0"/>
    </xf>
    <xf numFmtId="39" fontId="0" fillId="0" borderId="31" xfId="0" applyNumberFormat="1" applyFont="1" applyBorder="1" applyAlignment="1" applyProtection="1">
      <alignment horizontal="center" vertical="center"/>
      <protection locked="0"/>
    </xf>
    <xf numFmtId="4" fontId="0" fillId="0" borderId="32" xfId="0" applyNumberFormat="1" applyFont="1" applyBorder="1" applyAlignment="1" applyProtection="1">
      <alignment horizontal="center" vertical="center"/>
      <protection locked="0"/>
    </xf>
    <xf numFmtId="4" fontId="0" fillId="0" borderId="30" xfId="0" applyNumberFormat="1" applyFont="1" applyBorder="1" applyAlignment="1" applyProtection="1">
      <alignment horizontal="center" vertical="center"/>
      <protection locked="0"/>
    </xf>
    <xf numFmtId="4" fontId="0" fillId="0" borderId="31" xfId="0" applyNumberFormat="1" applyFont="1" applyBorder="1" applyAlignment="1" applyProtection="1">
      <alignment horizontal="center" vertical="center"/>
      <protection locked="0"/>
    </xf>
    <xf numFmtId="4" fontId="20" fillId="0" borderId="33" xfId="0" applyNumberFormat="1" applyFont="1" applyBorder="1" applyAlignment="1" applyProtection="1">
      <alignment horizontal="center" vertical="center"/>
    </xf>
    <xf numFmtId="4" fontId="20" fillId="0" borderId="34" xfId="0" applyNumberFormat="1" applyFont="1" applyBorder="1" applyAlignment="1" applyProtection="1">
      <alignment horizontal="center" vertical="center"/>
    </xf>
    <xf numFmtId="4" fontId="20" fillId="0" borderId="35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4" fontId="0" fillId="0" borderId="42" xfId="0" applyNumberFormat="1" applyFont="1" applyBorder="1" applyAlignment="1" applyProtection="1">
      <alignment horizontal="center" vertical="center"/>
      <protection locked="0"/>
    </xf>
    <xf numFmtId="4" fontId="0" fillId="0" borderId="43" xfId="0" applyNumberFormat="1" applyFont="1" applyBorder="1" applyAlignment="1" applyProtection="1">
      <alignment horizontal="center" vertical="center"/>
      <protection locked="0"/>
    </xf>
    <xf numFmtId="39" fontId="0" fillId="0" borderId="18" xfId="0" applyNumberFormat="1" applyFont="1" applyBorder="1" applyAlignment="1" applyProtection="1">
      <alignment horizontal="center" vertical="center"/>
      <protection locked="0"/>
    </xf>
    <xf numFmtId="39" fontId="0" fillId="0" borderId="25" xfId="0" applyNumberFormat="1" applyFont="1" applyBorder="1" applyAlignment="1" applyProtection="1">
      <alignment horizontal="center" vertical="center"/>
      <protection locked="0"/>
    </xf>
    <xf numFmtId="39" fontId="20" fillId="0" borderId="22" xfId="0" applyNumberFormat="1" applyFont="1" applyBorder="1" applyAlignment="1" applyProtection="1">
      <alignment horizontal="center" vertical="center"/>
      <protection locked="0"/>
    </xf>
    <xf numFmtId="39" fontId="20" fillId="0" borderId="26" xfId="0" applyNumberFormat="1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39" fontId="0" fillId="26" borderId="41" xfId="0" applyNumberFormat="1" applyFont="1" applyFill="1" applyBorder="1" applyAlignment="1" applyProtection="1">
      <alignment horizontal="center" vertical="center"/>
      <protection locked="0"/>
    </xf>
    <xf numFmtId="39" fontId="0" fillId="26" borderId="42" xfId="0" applyNumberFormat="1" applyFont="1" applyFill="1" applyBorder="1" applyAlignment="1" applyProtection="1">
      <alignment horizontal="center" vertical="center"/>
      <protection locked="0"/>
    </xf>
    <xf numFmtId="39" fontId="0" fillId="26" borderId="43" xfId="0" applyNumberFormat="1" applyFont="1" applyFill="1" applyBorder="1" applyAlignment="1" applyProtection="1">
      <alignment horizontal="center" vertical="center"/>
      <protection locked="0"/>
    </xf>
    <xf numFmtId="39" fontId="0" fillId="26" borderId="18" xfId="0" applyNumberFormat="1" applyFont="1" applyFill="1" applyBorder="1" applyAlignment="1" applyProtection="1">
      <alignment horizontal="center" vertical="center"/>
      <protection locked="0"/>
    </xf>
    <xf numFmtId="39" fontId="0" fillId="26" borderId="25" xfId="0" applyNumberFormat="1" applyFont="1" applyFill="1" applyBorder="1" applyAlignment="1" applyProtection="1">
      <alignment horizontal="center" vertical="center"/>
      <protection locked="0"/>
    </xf>
    <xf numFmtId="39" fontId="0" fillId="0" borderId="0" xfId="0" applyNumberForma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>
      <alignment horizontal="center" vertical="top" wrapText="1"/>
    </xf>
    <xf numFmtId="0" fontId="20" fillId="0" borderId="43" xfId="0" applyFont="1" applyBorder="1" applyAlignment="1">
      <alignment horizontal="center" vertical="top" wrapText="1"/>
    </xf>
    <xf numFmtId="2" fontId="22" fillId="24" borderId="17" xfId="0" applyNumberFormat="1" applyFont="1" applyFill="1" applyBorder="1" applyAlignment="1">
      <alignment horizontal="center" vertical="center"/>
    </xf>
    <xf numFmtId="2" fontId="22" fillId="24" borderId="24" xfId="0" applyNumberFormat="1" applyFont="1" applyFill="1" applyBorder="1" applyAlignment="1">
      <alignment horizontal="center" vertical="center"/>
    </xf>
    <xf numFmtId="2" fontId="27" fillId="24" borderId="18" xfId="0" applyNumberFormat="1" applyFont="1" applyFill="1" applyBorder="1" applyAlignment="1">
      <alignment horizontal="center" vertical="center"/>
    </xf>
    <xf numFmtId="2" fontId="27" fillId="24" borderId="25" xfId="0" applyNumberFormat="1" applyFont="1" applyFill="1" applyBorder="1" applyAlignment="1">
      <alignment horizontal="center" vertical="center"/>
    </xf>
    <xf numFmtId="2" fontId="22" fillId="24" borderId="18" xfId="0" applyNumberFormat="1" applyFont="1" applyFill="1" applyBorder="1" applyAlignment="1">
      <alignment horizontal="center" vertical="center"/>
    </xf>
    <xf numFmtId="2" fontId="22" fillId="24" borderId="25" xfId="0" applyNumberFormat="1" applyFont="1" applyFill="1" applyBorder="1" applyAlignment="1">
      <alignment horizontal="center" vertical="center"/>
    </xf>
    <xf numFmtId="2" fontId="20" fillId="24" borderId="50" xfId="0" applyNumberFormat="1" applyFont="1" applyFill="1" applyBorder="1" applyAlignment="1">
      <alignment horizontal="center" vertical="center"/>
    </xf>
    <xf numFmtId="0" fontId="20" fillId="24" borderId="51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2" fontId="22" fillId="24" borderId="55" xfId="0" applyNumberFormat="1" applyFont="1" applyFill="1" applyBorder="1" applyAlignment="1">
      <alignment horizontal="center" vertical="center"/>
    </xf>
    <xf numFmtId="2" fontId="22" fillId="24" borderId="56" xfId="0" applyNumberFormat="1" applyFont="1" applyFill="1" applyBorder="1" applyAlignment="1">
      <alignment horizontal="center" vertical="center"/>
    </xf>
    <xf numFmtId="2" fontId="22" fillId="24" borderId="57" xfId="0" applyNumberFormat="1" applyFont="1" applyFill="1" applyBorder="1" applyAlignment="1">
      <alignment horizontal="center" vertical="center"/>
    </xf>
    <xf numFmtId="2" fontId="22" fillId="24" borderId="58" xfId="0" applyNumberFormat="1" applyFont="1" applyFill="1" applyBorder="1" applyAlignment="1">
      <alignment horizontal="center" vertical="center"/>
    </xf>
    <xf numFmtId="2" fontId="22" fillId="24" borderId="59" xfId="0" applyNumberFormat="1" applyFont="1" applyFill="1" applyBorder="1" applyAlignment="1">
      <alignment horizontal="center" vertical="center"/>
    </xf>
    <xf numFmtId="2" fontId="22" fillId="24" borderId="60" xfId="0" applyNumberFormat="1" applyFont="1" applyFill="1" applyBorder="1" applyAlignment="1">
      <alignment horizontal="center" vertical="center"/>
    </xf>
    <xf numFmtId="2" fontId="20" fillId="24" borderId="58" xfId="0" applyNumberFormat="1" applyFont="1" applyFill="1" applyBorder="1" applyAlignment="1">
      <alignment horizontal="center" vertical="center"/>
    </xf>
    <xf numFmtId="2" fontId="20" fillId="24" borderId="59" xfId="0" applyNumberFormat="1" applyFont="1" applyFill="1" applyBorder="1" applyAlignment="1">
      <alignment horizontal="center" vertical="center"/>
    </xf>
    <xf numFmtId="2" fontId="20" fillId="24" borderId="60" xfId="0" applyNumberFormat="1" applyFont="1" applyFill="1" applyBorder="1" applyAlignment="1">
      <alignment horizontal="center" vertical="center"/>
    </xf>
    <xf numFmtId="2" fontId="20" fillId="24" borderId="61" xfId="0" applyNumberFormat="1" applyFont="1" applyFill="1" applyBorder="1" applyAlignment="1">
      <alignment horizontal="center" vertical="center"/>
    </xf>
    <xf numFmtId="2" fontId="20" fillId="24" borderId="51" xfId="0" applyNumberFormat="1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top" wrapText="1"/>
    </xf>
    <xf numFmtId="4" fontId="20" fillId="24" borderId="50" xfId="0" applyNumberFormat="1" applyFont="1" applyFill="1" applyBorder="1" applyAlignment="1">
      <alignment horizontal="center" vertical="center"/>
    </xf>
    <xf numFmtId="4" fontId="20" fillId="24" borderId="61" xfId="0" applyNumberFormat="1" applyFont="1" applyFill="1" applyBorder="1" applyAlignment="1">
      <alignment horizontal="center" vertical="center"/>
    </xf>
    <xf numFmtId="4" fontId="20" fillId="24" borderId="51" xfId="0" applyNumberFormat="1" applyFont="1" applyFill="1" applyBorder="1" applyAlignment="1">
      <alignment horizontal="center" vertical="center"/>
    </xf>
    <xf numFmtId="2" fontId="20" fillId="24" borderId="62" xfId="0" applyNumberFormat="1" applyFont="1" applyFill="1" applyBorder="1" applyAlignment="1">
      <alignment horizontal="center" vertical="center"/>
    </xf>
    <xf numFmtId="2" fontId="20" fillId="24" borderId="53" xfId="0" applyNumberFormat="1" applyFont="1" applyFill="1" applyBorder="1" applyAlignment="1">
      <alignment horizontal="center" vertical="center"/>
    </xf>
    <xf numFmtId="2" fontId="20" fillId="24" borderId="54" xfId="0" applyNumberFormat="1" applyFont="1" applyFill="1" applyBorder="1" applyAlignment="1">
      <alignment horizontal="center" vertical="center"/>
    </xf>
    <xf numFmtId="4" fontId="20" fillId="24" borderId="18" xfId="0" applyNumberFormat="1" applyFont="1" applyFill="1" applyBorder="1" applyAlignment="1">
      <alignment horizontal="center" vertical="center"/>
    </xf>
    <xf numFmtId="4" fontId="20" fillId="24" borderId="25" xfId="0" applyNumberFormat="1" applyFont="1" applyFill="1" applyBorder="1" applyAlignment="1">
      <alignment horizontal="center" vertical="center"/>
    </xf>
    <xf numFmtId="4" fontId="20" fillId="24" borderId="53" xfId="0" applyNumberFormat="1" applyFont="1" applyFill="1" applyBorder="1" applyAlignment="1">
      <alignment horizontal="center" vertical="center"/>
    </xf>
    <xf numFmtId="4" fontId="20" fillId="24" borderId="54" xfId="0" applyNumberFormat="1" applyFont="1" applyFill="1" applyBorder="1" applyAlignment="1">
      <alignment horizontal="center" vertical="center"/>
    </xf>
  </cellXfs>
  <cellStyles count="6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 2" xfId="46"/>
    <cellStyle name="Moeda 2 2" xfId="47"/>
    <cellStyle name="Moeda 3" xfId="48"/>
    <cellStyle name="Moeda 4" xfId="49"/>
    <cellStyle name="Neutra" xfId="31" builtinId="28" customBuiltin="1"/>
    <cellStyle name="Normal" xfId="0" builtinId="0"/>
    <cellStyle name="Normal 2" xfId="45"/>
    <cellStyle name="Normal 3" xfId="50"/>
    <cellStyle name="Nota" xfId="32" builtinId="10" customBuiltin="1"/>
    <cellStyle name="Porcentagem" xfId="33" builtinId="5"/>
    <cellStyle name="Porcentagem 2" xfId="51"/>
    <cellStyle name="Porcentagem 2 2" xfId="52"/>
    <cellStyle name="Porcentagem 3" xfId="53"/>
    <cellStyle name="Porcentagem 3 2" xfId="54"/>
    <cellStyle name="Saída" xfId="34" builtinId="21" customBuiltin="1"/>
    <cellStyle name="Separador de milhares 2" xfId="55"/>
    <cellStyle name="Separador de milhares 2 2" xfId="56"/>
    <cellStyle name="Separador de milhares 3" xfId="57"/>
    <cellStyle name="Separador de milhares 3 2" xfId="58"/>
    <cellStyle name="TableStyleLight1" xfId="59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1 1 1" xfId="39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  <cellStyle name="Vírgula" xfId="4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6"/>
  <dimension ref="A1:H126"/>
  <sheetViews>
    <sheetView tabSelected="1" topLeftCell="B27" zoomScale="85" zoomScaleNormal="85" zoomScaleSheetLayoutView="100" workbookViewId="0">
      <selection activeCell="C83" sqref="C83:E83"/>
    </sheetView>
  </sheetViews>
  <sheetFormatPr defaultColWidth="11.42578125" defaultRowHeight="11.25" x14ac:dyDescent="0.2"/>
  <cols>
    <col min="1" max="1" width="3.42578125" style="1" customWidth="1"/>
    <col min="2" max="2" width="65.7109375" style="1" customWidth="1"/>
    <col min="3" max="3" width="15.5703125" style="1" customWidth="1"/>
    <col min="4" max="5" width="15.7109375" style="1" customWidth="1"/>
    <col min="6" max="6" width="20.5703125" style="2" customWidth="1"/>
    <col min="7" max="16384" width="11.42578125" style="1"/>
  </cols>
  <sheetData>
    <row r="1" spans="2:5" ht="39" customHeight="1" x14ac:dyDescent="0.2">
      <c r="B1" s="55" t="s">
        <v>95</v>
      </c>
      <c r="C1" s="56"/>
      <c r="D1" s="56"/>
      <c r="E1" s="56"/>
    </row>
    <row r="2" spans="2:5" ht="17.25" customHeight="1" thickBot="1" x14ac:dyDescent="0.25">
      <c r="B2" s="43"/>
      <c r="C2" s="44"/>
      <c r="D2" s="44"/>
      <c r="E2" s="44"/>
    </row>
    <row r="3" spans="2:5" ht="17.25" customHeight="1" thickBot="1" x14ac:dyDescent="0.25">
      <c r="B3" s="48" t="s">
        <v>98</v>
      </c>
      <c r="C3" s="74"/>
      <c r="D3" s="75"/>
      <c r="E3" s="76"/>
    </row>
    <row r="4" spans="2:5" ht="17.25" customHeight="1" thickBot="1" x14ac:dyDescent="0.25">
      <c r="B4" s="49" t="s">
        <v>99</v>
      </c>
      <c r="C4" s="74"/>
      <c r="D4" s="75"/>
      <c r="E4" s="76"/>
    </row>
    <row r="5" spans="2:5" ht="17.25" customHeight="1" thickBot="1" x14ac:dyDescent="0.25">
      <c r="B5" s="43"/>
      <c r="C5" s="44"/>
      <c r="D5" s="44"/>
      <c r="E5" s="44"/>
    </row>
    <row r="6" spans="2:5" ht="15.95" customHeight="1" x14ac:dyDescent="0.2">
      <c r="B6" s="10" t="s">
        <v>17</v>
      </c>
      <c r="C6" s="57" t="s">
        <v>100</v>
      </c>
      <c r="D6" s="57"/>
      <c r="E6" s="58"/>
    </row>
    <row r="7" spans="2:5" ht="15.95" customHeight="1" x14ac:dyDescent="0.2">
      <c r="B7" s="47" t="s">
        <v>102</v>
      </c>
      <c r="C7" s="77" t="s">
        <v>103</v>
      </c>
      <c r="D7" s="78"/>
      <c r="E7" s="79"/>
    </row>
    <row r="8" spans="2:5" ht="15.95" customHeight="1" x14ac:dyDescent="0.2">
      <c r="B8" s="47" t="s">
        <v>97</v>
      </c>
      <c r="C8" s="71">
        <v>15.21</v>
      </c>
      <c r="D8" s="72"/>
      <c r="E8" s="73"/>
    </row>
    <row r="9" spans="2:5" ht="15.95" customHeight="1" x14ac:dyDescent="0.2">
      <c r="B9" s="11" t="s">
        <v>18</v>
      </c>
      <c r="C9" s="59">
        <v>1087.53</v>
      </c>
      <c r="D9" s="60"/>
      <c r="E9" s="61"/>
    </row>
    <row r="10" spans="2:5" ht="15.95" customHeight="1" x14ac:dyDescent="0.2">
      <c r="B10" s="11" t="s">
        <v>19</v>
      </c>
      <c r="C10" s="62" t="s">
        <v>101</v>
      </c>
      <c r="D10" s="63"/>
      <c r="E10" s="64"/>
    </row>
    <row r="11" spans="2:5" ht="15.95" customHeight="1" thickBot="1" x14ac:dyDescent="0.25">
      <c r="B11" s="25" t="s">
        <v>20</v>
      </c>
      <c r="C11" s="65">
        <v>42370</v>
      </c>
      <c r="D11" s="66"/>
      <c r="E11" s="67"/>
    </row>
    <row r="12" spans="2:5" ht="15.95" customHeight="1" x14ac:dyDescent="0.2">
      <c r="B12" s="21"/>
      <c r="C12" s="45"/>
      <c r="D12" s="46"/>
      <c r="E12" s="46"/>
    </row>
    <row r="13" spans="2:5" ht="12" customHeight="1" thickBot="1" x14ac:dyDescent="0.25">
      <c r="C13" s="12"/>
      <c r="D13" s="12"/>
      <c r="E13" s="12"/>
    </row>
    <row r="14" spans="2:5" ht="15.75" customHeight="1" x14ac:dyDescent="0.2">
      <c r="B14" s="68" t="s">
        <v>8</v>
      </c>
      <c r="C14" s="69"/>
      <c r="D14" s="69"/>
      <c r="E14" s="70"/>
    </row>
    <row r="15" spans="2:5" ht="15.95" customHeight="1" x14ac:dyDescent="0.2">
      <c r="B15" s="13" t="s">
        <v>21</v>
      </c>
      <c r="C15" s="80" t="s">
        <v>22</v>
      </c>
      <c r="D15" s="80"/>
      <c r="E15" s="81"/>
    </row>
    <row r="16" spans="2:5" ht="15.95" customHeight="1" x14ac:dyDescent="0.2">
      <c r="B16" s="8" t="s">
        <v>5</v>
      </c>
      <c r="C16" s="82">
        <v>1087.53</v>
      </c>
      <c r="D16" s="83"/>
      <c r="E16" s="84"/>
    </row>
    <row r="17" spans="2:6" ht="15.95" customHeight="1" x14ac:dyDescent="0.2">
      <c r="B17" s="8" t="s">
        <v>88</v>
      </c>
      <c r="C17" s="82">
        <f>((C16+C19)/220)*0.2*7*C8</f>
        <v>136.8419225727273</v>
      </c>
      <c r="D17" s="83"/>
      <c r="E17" s="84"/>
    </row>
    <row r="18" spans="2:6" ht="15.95" customHeight="1" x14ac:dyDescent="0.2">
      <c r="B18" s="8" t="s">
        <v>104</v>
      </c>
      <c r="C18" s="82">
        <f>((C16+C19)/220)*1.2*C8</f>
        <v>117.29307649090909</v>
      </c>
      <c r="D18" s="83"/>
      <c r="E18" s="84"/>
    </row>
    <row r="19" spans="2:6" ht="15.95" customHeight="1" x14ac:dyDescent="0.2">
      <c r="B19" s="9" t="s">
        <v>6</v>
      </c>
      <c r="C19" s="85">
        <f>C16*0.3</f>
        <v>326.25899999999996</v>
      </c>
      <c r="D19" s="86"/>
      <c r="E19" s="87"/>
    </row>
    <row r="20" spans="2:6" ht="15.95" customHeight="1" x14ac:dyDescent="0.2">
      <c r="B20" s="9" t="s">
        <v>7</v>
      </c>
      <c r="C20" s="85"/>
      <c r="D20" s="86"/>
      <c r="E20" s="87"/>
    </row>
    <row r="21" spans="2:6" ht="15.95" customHeight="1" x14ac:dyDescent="0.2">
      <c r="B21" s="9" t="s">
        <v>89</v>
      </c>
      <c r="C21" s="85">
        <f>((C16+C19+C17+C18)/220)*(13/12)*12/2</f>
        <v>49.279572699607435</v>
      </c>
      <c r="D21" s="86"/>
      <c r="E21" s="87"/>
    </row>
    <row r="22" spans="2:6" ht="15.95" customHeight="1" x14ac:dyDescent="0.2">
      <c r="B22" s="9" t="s">
        <v>90</v>
      </c>
      <c r="C22" s="82">
        <f>((C16+C19)/220)*C8</f>
        <v>97.744230409090903</v>
      </c>
      <c r="D22" s="83"/>
      <c r="E22" s="84"/>
    </row>
    <row r="23" spans="2:6" ht="15.95" customHeight="1" x14ac:dyDescent="0.2">
      <c r="B23" s="9" t="s">
        <v>105</v>
      </c>
      <c r="C23" s="85">
        <f>(C17+C18+C21)/6</f>
        <v>50.569095293873971</v>
      </c>
      <c r="D23" s="86"/>
      <c r="E23" s="87"/>
    </row>
    <row r="24" spans="2:6" ht="15.95" customHeight="1" thickBot="1" x14ac:dyDescent="0.25">
      <c r="B24" s="14" t="s">
        <v>23</v>
      </c>
      <c r="C24" s="88">
        <f>SUM(C16:E23)</f>
        <v>1865.5168974662085</v>
      </c>
      <c r="D24" s="89"/>
      <c r="E24" s="90"/>
    </row>
    <row r="25" spans="2:6" ht="15.95" customHeight="1" thickBot="1" x14ac:dyDescent="0.25">
      <c r="B25" s="91"/>
      <c r="C25" s="91"/>
      <c r="D25" s="91"/>
      <c r="E25" s="91"/>
    </row>
    <row r="26" spans="2:6" ht="15.95" customHeight="1" thickBot="1" x14ac:dyDescent="0.25">
      <c r="B26" s="92" t="s">
        <v>9</v>
      </c>
      <c r="C26" s="93"/>
      <c r="D26" s="93"/>
      <c r="E26" s="94"/>
    </row>
    <row r="27" spans="2:6" ht="15.95" customHeight="1" thickBot="1" x14ac:dyDescent="0.25">
      <c r="B27" s="20" t="s">
        <v>25</v>
      </c>
      <c r="C27" s="95" t="s">
        <v>22</v>
      </c>
      <c r="D27" s="95"/>
      <c r="E27" s="96"/>
    </row>
    <row r="28" spans="2:6" ht="15.95" customHeight="1" x14ac:dyDescent="0.2">
      <c r="B28" s="32" t="s">
        <v>10</v>
      </c>
      <c r="C28" s="97">
        <f>3.6*2*C8-(C16*0.06)</f>
        <v>44.260200000000012</v>
      </c>
      <c r="D28" s="98"/>
      <c r="E28" s="99"/>
      <c r="F28" s="41"/>
    </row>
    <row r="29" spans="2:6" ht="15.95" customHeight="1" x14ac:dyDescent="0.2">
      <c r="B29" s="15" t="s">
        <v>11</v>
      </c>
      <c r="C29" s="100">
        <f>(14*0.98)*C8</f>
        <v>208.68119999999999</v>
      </c>
      <c r="D29" s="100"/>
      <c r="E29" s="101"/>
    </row>
    <row r="30" spans="2:6" ht="15.95" customHeight="1" x14ac:dyDescent="0.2">
      <c r="B30" s="15" t="s">
        <v>91</v>
      </c>
      <c r="C30" s="100">
        <v>82.6</v>
      </c>
      <c r="D30" s="100"/>
      <c r="E30" s="101"/>
    </row>
    <row r="31" spans="2:6" ht="15.95" customHeight="1" x14ac:dyDescent="0.2">
      <c r="B31" s="15" t="s">
        <v>92</v>
      </c>
      <c r="C31" s="100">
        <v>5</v>
      </c>
      <c r="D31" s="100"/>
      <c r="E31" s="101"/>
    </row>
    <row r="32" spans="2:6" ht="15.95" customHeight="1" x14ac:dyDescent="0.2">
      <c r="B32" s="16" t="s">
        <v>106</v>
      </c>
      <c r="C32" s="100">
        <v>9.86</v>
      </c>
      <c r="D32" s="100"/>
      <c r="E32" s="101"/>
    </row>
    <row r="33" spans="2:6" ht="15.95" customHeight="1" x14ac:dyDescent="0.2">
      <c r="B33" s="15" t="s">
        <v>96</v>
      </c>
      <c r="C33" s="100">
        <v>0</v>
      </c>
      <c r="D33" s="100"/>
      <c r="E33" s="101"/>
    </row>
    <row r="34" spans="2:6" ht="15.95" customHeight="1" thickBot="1" x14ac:dyDescent="0.25">
      <c r="B34" s="17" t="s">
        <v>24</v>
      </c>
      <c r="C34" s="102">
        <f>SUM(C28:E33)</f>
        <v>350.40139999999997</v>
      </c>
      <c r="D34" s="102"/>
      <c r="E34" s="103"/>
    </row>
    <row r="35" spans="2:6" s="3" customFormat="1" ht="15" customHeight="1" thickBot="1" x14ac:dyDescent="0.25">
      <c r="B35" s="104"/>
      <c r="C35" s="105"/>
      <c r="D35" s="105"/>
      <c r="E35" s="106"/>
      <c r="F35" s="4"/>
    </row>
    <row r="36" spans="2:6" s="3" customFormat="1" ht="15" customHeight="1" thickBot="1" x14ac:dyDescent="0.25">
      <c r="B36" s="92" t="s">
        <v>12</v>
      </c>
      <c r="C36" s="93"/>
      <c r="D36" s="93"/>
      <c r="E36" s="94"/>
      <c r="F36" s="4"/>
    </row>
    <row r="37" spans="2:6" s="3" customFormat="1" ht="15" customHeight="1" thickBot="1" x14ac:dyDescent="0.25">
      <c r="B37" s="20" t="s">
        <v>0</v>
      </c>
      <c r="C37" s="107" t="s">
        <v>22</v>
      </c>
      <c r="D37" s="107"/>
      <c r="E37" s="108"/>
      <c r="F37" s="4"/>
    </row>
    <row r="38" spans="2:6" s="3" customFormat="1" ht="15" customHeight="1" x14ac:dyDescent="0.2">
      <c r="B38" s="31" t="s">
        <v>13</v>
      </c>
      <c r="C38" s="109">
        <f>181.49/2</f>
        <v>90.745000000000005</v>
      </c>
      <c r="D38" s="110"/>
      <c r="E38" s="111"/>
      <c r="F38" s="4"/>
    </row>
    <row r="39" spans="2:6" s="3" customFormat="1" ht="15.95" customHeight="1" x14ac:dyDescent="0.2">
      <c r="B39" s="18" t="s">
        <v>94</v>
      </c>
      <c r="C39" s="112">
        <v>0</v>
      </c>
      <c r="D39" s="112"/>
      <c r="E39" s="113"/>
      <c r="F39" s="4"/>
    </row>
    <row r="40" spans="2:6" s="3" customFormat="1" ht="18.75" customHeight="1" x14ac:dyDescent="0.2">
      <c r="B40" s="18" t="s">
        <v>14</v>
      </c>
      <c r="C40" s="112">
        <f>49.3/2</f>
        <v>24.65</v>
      </c>
      <c r="D40" s="112"/>
      <c r="E40" s="113"/>
      <c r="F40" s="4"/>
    </row>
    <row r="41" spans="2:6" s="3" customFormat="1" ht="13.5" customHeight="1" thickBot="1" x14ac:dyDescent="0.25">
      <c r="B41" s="19" t="s">
        <v>1</v>
      </c>
      <c r="C41" s="102">
        <f>SUM(C38:E40)</f>
        <v>115.39500000000001</v>
      </c>
      <c r="D41" s="102"/>
      <c r="E41" s="103"/>
      <c r="F41" s="4"/>
    </row>
    <row r="42" spans="2:6" s="3" customFormat="1" ht="13.5" customHeight="1" thickBot="1" x14ac:dyDescent="0.25">
      <c r="B42" s="114"/>
      <c r="C42" s="114"/>
      <c r="D42" s="114"/>
      <c r="E42" s="114"/>
      <c r="F42" s="4"/>
    </row>
    <row r="43" spans="2:6" s="3" customFormat="1" ht="13.5" customHeight="1" thickBot="1" x14ac:dyDescent="0.25">
      <c r="B43" s="115" t="s">
        <v>15</v>
      </c>
      <c r="C43" s="115"/>
      <c r="D43" s="115"/>
      <c r="E43" s="115"/>
      <c r="F43" s="4"/>
    </row>
    <row r="44" spans="2:6" s="3" customFormat="1" ht="13.5" customHeight="1" thickBot="1" x14ac:dyDescent="0.25">
      <c r="B44" s="116" t="s">
        <v>16</v>
      </c>
      <c r="C44" s="116"/>
      <c r="D44" s="116"/>
      <c r="E44" s="116"/>
      <c r="F44" s="4"/>
    </row>
    <row r="45" spans="2:6" s="3" customFormat="1" ht="13.5" customHeight="1" thickBot="1" x14ac:dyDescent="0.25">
      <c r="B45" s="29" t="s">
        <v>26</v>
      </c>
      <c r="C45" s="28" t="s">
        <v>3</v>
      </c>
      <c r="D45" s="117" t="s">
        <v>22</v>
      </c>
      <c r="E45" s="118"/>
      <c r="F45" s="4"/>
    </row>
    <row r="46" spans="2:6" s="3" customFormat="1" ht="14.25" customHeight="1" x14ac:dyDescent="0.2">
      <c r="B46" s="30" t="s">
        <v>27</v>
      </c>
      <c r="C46" s="23">
        <v>20</v>
      </c>
      <c r="D46" s="119">
        <f t="shared" ref="D46:D53" si="0">$C$24*(C46/100)</f>
        <v>373.10337949324173</v>
      </c>
      <c r="E46" s="120"/>
      <c r="F46" s="4"/>
    </row>
    <row r="47" spans="2:6" s="3" customFormat="1" ht="14.25" customHeight="1" x14ac:dyDescent="0.2">
      <c r="B47" s="34" t="s">
        <v>28</v>
      </c>
      <c r="C47" s="35">
        <v>1.5</v>
      </c>
      <c r="D47" s="121">
        <f t="shared" si="0"/>
        <v>27.982753461993127</v>
      </c>
      <c r="E47" s="122"/>
      <c r="F47" s="4"/>
    </row>
    <row r="48" spans="2:6" s="3" customFormat="1" ht="14.25" customHeight="1" x14ac:dyDescent="0.2">
      <c r="B48" s="34" t="s">
        <v>29</v>
      </c>
      <c r="C48" s="35">
        <v>1</v>
      </c>
      <c r="D48" s="121">
        <f t="shared" si="0"/>
        <v>18.655168974662086</v>
      </c>
      <c r="E48" s="122"/>
      <c r="F48" s="4"/>
    </row>
    <row r="49" spans="2:6" s="3" customFormat="1" ht="14.25" customHeight="1" x14ac:dyDescent="0.2">
      <c r="B49" s="34" t="s">
        <v>30</v>
      </c>
      <c r="C49" s="35">
        <v>0.2</v>
      </c>
      <c r="D49" s="121">
        <f t="shared" si="0"/>
        <v>3.7310337949324173</v>
      </c>
      <c r="E49" s="122"/>
      <c r="F49" s="4"/>
    </row>
    <row r="50" spans="2:6" s="3" customFormat="1" ht="14.25" customHeight="1" x14ac:dyDescent="0.2">
      <c r="B50" s="34" t="s">
        <v>31</v>
      </c>
      <c r="C50" s="35">
        <v>2.5</v>
      </c>
      <c r="D50" s="121">
        <f t="shared" si="0"/>
        <v>46.637922436655217</v>
      </c>
      <c r="E50" s="122"/>
      <c r="F50" s="4"/>
    </row>
    <row r="51" spans="2:6" s="3" customFormat="1" ht="14.25" customHeight="1" x14ac:dyDescent="0.2">
      <c r="B51" s="26" t="s">
        <v>32</v>
      </c>
      <c r="C51" s="24">
        <v>8</v>
      </c>
      <c r="D51" s="123">
        <f t="shared" si="0"/>
        <v>149.24135179729669</v>
      </c>
      <c r="E51" s="124"/>
      <c r="F51" s="4"/>
    </row>
    <row r="52" spans="2:6" s="3" customFormat="1" ht="14.25" customHeight="1" x14ac:dyDescent="0.2">
      <c r="B52" s="26" t="s">
        <v>33</v>
      </c>
      <c r="C52" s="24">
        <v>6</v>
      </c>
      <c r="D52" s="123">
        <f t="shared" si="0"/>
        <v>111.93101384797251</v>
      </c>
      <c r="E52" s="124"/>
      <c r="F52" s="4"/>
    </row>
    <row r="53" spans="2:6" s="3" customFormat="1" ht="14.25" customHeight="1" x14ac:dyDescent="0.2">
      <c r="B53" s="34" t="s">
        <v>34</v>
      </c>
      <c r="C53" s="35">
        <v>0.6</v>
      </c>
      <c r="D53" s="121">
        <f t="shared" si="0"/>
        <v>11.193101384797252</v>
      </c>
      <c r="E53" s="122"/>
      <c r="F53" s="4"/>
    </row>
    <row r="54" spans="2:6" s="3" customFormat="1" ht="14.25" customHeight="1" thickBot="1" x14ac:dyDescent="0.25">
      <c r="B54" s="27" t="s">
        <v>4</v>
      </c>
      <c r="C54" s="36">
        <f>SUM(C46:C53)</f>
        <v>39.800000000000004</v>
      </c>
      <c r="D54" s="125">
        <f>SUM(D46:E53)</f>
        <v>742.47572519155108</v>
      </c>
      <c r="E54" s="126"/>
      <c r="F54" s="4"/>
    </row>
    <row r="55" spans="2:6" s="3" customFormat="1" ht="14.25" customHeight="1" x14ac:dyDescent="0.2">
      <c r="B55" s="33" t="s">
        <v>35</v>
      </c>
      <c r="C55" s="22"/>
      <c r="D55" s="22"/>
      <c r="E55" s="22"/>
      <c r="F55" s="4"/>
    </row>
    <row r="56" spans="2:6" s="3" customFormat="1" ht="14.25" customHeight="1" thickBot="1" x14ac:dyDescent="0.25">
      <c r="B56" s="21"/>
      <c r="C56" s="22"/>
      <c r="D56" s="22"/>
      <c r="E56" s="22"/>
      <c r="F56" s="4"/>
    </row>
    <row r="57" spans="2:6" s="3" customFormat="1" ht="14.25" customHeight="1" thickBot="1" x14ac:dyDescent="0.25">
      <c r="B57" s="116" t="s">
        <v>41</v>
      </c>
      <c r="C57" s="116"/>
      <c r="D57" s="116"/>
      <c r="E57" s="116"/>
      <c r="F57" s="4"/>
    </row>
    <row r="58" spans="2:6" s="3" customFormat="1" ht="14.25" customHeight="1" thickBot="1" x14ac:dyDescent="0.25">
      <c r="B58" s="29" t="s">
        <v>36</v>
      </c>
      <c r="C58" s="127" t="s">
        <v>22</v>
      </c>
      <c r="D58" s="128"/>
      <c r="E58" s="129"/>
      <c r="F58" s="4"/>
    </row>
    <row r="59" spans="2:6" s="3" customFormat="1" ht="14.25" customHeight="1" x14ac:dyDescent="0.2">
      <c r="B59" s="30" t="s">
        <v>40</v>
      </c>
      <c r="C59" s="130">
        <f>$C$24*8.33%</f>
        <v>155.39755755893518</v>
      </c>
      <c r="D59" s="131"/>
      <c r="E59" s="132"/>
      <c r="F59" s="4"/>
    </row>
    <row r="60" spans="2:6" s="3" customFormat="1" ht="14.25" customHeight="1" x14ac:dyDescent="0.2">
      <c r="B60" s="26" t="s">
        <v>37</v>
      </c>
      <c r="C60" s="133">
        <f>$C$24*((1/3)/12)</f>
        <v>51.819913818505789</v>
      </c>
      <c r="D60" s="134"/>
      <c r="E60" s="135"/>
      <c r="F60" s="4"/>
    </row>
    <row r="61" spans="2:6" s="3" customFormat="1" ht="14.25" customHeight="1" x14ac:dyDescent="0.2">
      <c r="B61" s="38" t="s">
        <v>38</v>
      </c>
      <c r="C61" s="136">
        <f>SUM(C59:E60)</f>
        <v>207.21747137744097</v>
      </c>
      <c r="D61" s="137"/>
      <c r="E61" s="138"/>
      <c r="F61" s="4"/>
    </row>
    <row r="62" spans="2:6" s="3" customFormat="1" ht="14.25" customHeight="1" x14ac:dyDescent="0.2">
      <c r="B62" s="26" t="s">
        <v>39</v>
      </c>
      <c r="C62" s="133">
        <f>C61*(C54/100)</f>
        <v>82.472553608221517</v>
      </c>
      <c r="D62" s="134"/>
      <c r="E62" s="135"/>
      <c r="F62" s="4"/>
    </row>
    <row r="63" spans="2:6" s="3" customFormat="1" ht="14.25" customHeight="1" thickBot="1" x14ac:dyDescent="0.25">
      <c r="B63" s="27" t="s">
        <v>4</v>
      </c>
      <c r="C63" s="125">
        <f>SUM(C61:E62)</f>
        <v>289.69002498566249</v>
      </c>
      <c r="D63" s="139"/>
      <c r="E63" s="140"/>
      <c r="F63" s="4"/>
    </row>
    <row r="64" spans="2:6" s="3" customFormat="1" ht="14.25" customHeight="1" thickBot="1" x14ac:dyDescent="0.25">
      <c r="B64" s="21"/>
      <c r="C64" s="22"/>
      <c r="D64" s="22"/>
      <c r="E64" s="22"/>
      <c r="F64" s="4"/>
    </row>
    <row r="65" spans="2:8" s="3" customFormat="1" ht="14.25" customHeight="1" thickBot="1" x14ac:dyDescent="0.25">
      <c r="B65" s="116" t="s">
        <v>42</v>
      </c>
      <c r="C65" s="116"/>
      <c r="D65" s="116"/>
      <c r="E65" s="116"/>
      <c r="F65" s="4"/>
    </row>
    <row r="66" spans="2:8" s="3" customFormat="1" ht="14.25" customHeight="1" thickBot="1" x14ac:dyDescent="0.25">
      <c r="B66" s="29" t="s">
        <v>43</v>
      </c>
      <c r="C66" s="127" t="s">
        <v>22</v>
      </c>
      <c r="D66" s="128"/>
      <c r="E66" s="129"/>
      <c r="F66" s="4"/>
    </row>
    <row r="67" spans="2:8" s="3" customFormat="1" ht="14.25" customHeight="1" x14ac:dyDescent="0.2">
      <c r="B67" s="30" t="s">
        <v>44</v>
      </c>
      <c r="C67" s="130">
        <f>(((C59)+(C60)+C32)*4*0.03*0.0606)/12</f>
        <v>0.13154894765472921</v>
      </c>
      <c r="D67" s="131"/>
      <c r="E67" s="132"/>
      <c r="F67" s="4"/>
    </row>
    <row r="68" spans="2:8" s="3" customFormat="1" ht="14.25" customHeight="1" x14ac:dyDescent="0.2">
      <c r="B68" s="26" t="s">
        <v>45</v>
      </c>
      <c r="C68" s="133">
        <f>C67*(C54/100)</f>
        <v>5.2356481166582231E-2</v>
      </c>
      <c r="D68" s="134"/>
      <c r="E68" s="135"/>
      <c r="F68" s="4"/>
    </row>
    <row r="69" spans="2:8" s="3" customFormat="1" ht="14.25" customHeight="1" thickBot="1" x14ac:dyDescent="0.25">
      <c r="B69" s="27" t="s">
        <v>4</v>
      </c>
      <c r="C69" s="125">
        <f>SUM(C67:E68)</f>
        <v>0.18390542882131145</v>
      </c>
      <c r="D69" s="139"/>
      <c r="E69" s="140"/>
      <c r="F69" s="39"/>
    </row>
    <row r="70" spans="2:8" s="3" customFormat="1" ht="14.25" customHeight="1" thickBot="1" x14ac:dyDescent="0.25">
      <c r="B70" s="21"/>
      <c r="C70" s="22"/>
      <c r="D70" s="22"/>
      <c r="E70" s="22"/>
      <c r="F70" s="4"/>
    </row>
    <row r="71" spans="2:8" s="3" customFormat="1" ht="14.25" customHeight="1" thickBot="1" x14ac:dyDescent="0.25">
      <c r="B71" s="116" t="s">
        <v>46</v>
      </c>
      <c r="C71" s="116"/>
      <c r="D71" s="116"/>
      <c r="E71" s="116"/>
      <c r="F71" s="4"/>
    </row>
    <row r="72" spans="2:8" s="3" customFormat="1" ht="14.25" customHeight="1" thickBot="1" x14ac:dyDescent="0.25">
      <c r="B72" s="29" t="s">
        <v>47</v>
      </c>
      <c r="C72" s="127" t="s">
        <v>22</v>
      </c>
      <c r="D72" s="128"/>
      <c r="E72" s="129"/>
      <c r="F72" s="4"/>
    </row>
    <row r="73" spans="2:8" s="3" customFormat="1" ht="14.25" customHeight="1" x14ac:dyDescent="0.2">
      <c r="B73" s="30" t="s">
        <v>48</v>
      </c>
      <c r="C73" s="130">
        <f>C24*0.417%</f>
        <v>7.7792054624340894</v>
      </c>
      <c r="D73" s="131"/>
      <c r="E73" s="132"/>
      <c r="F73" s="53"/>
    </row>
    <row r="74" spans="2:8" s="3" customFormat="1" ht="14.25" customHeight="1" x14ac:dyDescent="0.2">
      <c r="B74" s="26" t="s">
        <v>49</v>
      </c>
      <c r="C74" s="123">
        <f>C73*(C54/100)</f>
        <v>3.0961237740487677</v>
      </c>
      <c r="D74" s="123"/>
      <c r="E74" s="124"/>
      <c r="F74" s="4"/>
    </row>
    <row r="75" spans="2:8" s="3" customFormat="1" ht="14.25" customHeight="1" x14ac:dyDescent="0.2">
      <c r="B75" s="26" t="s">
        <v>50</v>
      </c>
      <c r="C75" s="123">
        <f>$C$24*(1/12)*(0.08*0.5*0.05)</f>
        <v>0.31091948291103472</v>
      </c>
      <c r="D75" s="123"/>
      <c r="E75" s="124"/>
      <c r="F75" s="53"/>
      <c r="G75" s="54"/>
      <c r="H75" s="54"/>
    </row>
    <row r="76" spans="2:8" s="3" customFormat="1" ht="14.25" customHeight="1" x14ac:dyDescent="0.2">
      <c r="B76" s="26" t="s">
        <v>51</v>
      </c>
      <c r="C76" s="123">
        <f>C24*1.944%</f>
        <v>36.265648486743089</v>
      </c>
      <c r="D76" s="123"/>
      <c r="E76" s="124"/>
      <c r="F76" s="52"/>
    </row>
    <row r="77" spans="2:8" s="3" customFormat="1" ht="14.25" customHeight="1" x14ac:dyDescent="0.2">
      <c r="B77" s="26" t="s">
        <v>52</v>
      </c>
      <c r="C77" s="123">
        <f>C76*(C54/100)</f>
        <v>14.433728097723749</v>
      </c>
      <c r="D77" s="123"/>
      <c r="E77" s="124"/>
      <c r="F77" s="4"/>
    </row>
    <row r="78" spans="2:8" s="3" customFormat="1" ht="14.25" customHeight="1" x14ac:dyDescent="0.2">
      <c r="B78" s="26" t="s">
        <v>53</v>
      </c>
      <c r="C78" s="123">
        <f>$C$24*(0.08*0.5)</f>
        <v>74.620675898648344</v>
      </c>
      <c r="D78" s="123"/>
      <c r="E78" s="124"/>
      <c r="F78" s="4"/>
    </row>
    <row r="79" spans="2:8" s="3" customFormat="1" ht="14.25" customHeight="1" thickBot="1" x14ac:dyDescent="0.25">
      <c r="B79" s="27" t="s">
        <v>4</v>
      </c>
      <c r="C79" s="125">
        <f>SUM(C73:E78)</f>
        <v>136.50630120250906</v>
      </c>
      <c r="D79" s="139"/>
      <c r="E79" s="140"/>
      <c r="F79" s="39"/>
    </row>
    <row r="80" spans="2:8" s="3" customFormat="1" ht="14.25" customHeight="1" thickBot="1" x14ac:dyDescent="0.25">
      <c r="B80" s="21"/>
      <c r="C80" s="22"/>
      <c r="D80" s="22"/>
      <c r="E80" s="22"/>
      <c r="F80" s="4"/>
    </row>
    <row r="81" spans="1:6" s="3" customFormat="1" ht="14.25" customHeight="1" thickBot="1" x14ac:dyDescent="0.25">
      <c r="B81" s="116" t="s">
        <v>54</v>
      </c>
      <c r="C81" s="116"/>
      <c r="D81" s="116"/>
      <c r="E81" s="116"/>
      <c r="F81" s="4"/>
    </row>
    <row r="82" spans="1:6" s="3" customFormat="1" ht="14.25" customHeight="1" thickBot="1" x14ac:dyDescent="0.25">
      <c r="B82" s="29" t="s">
        <v>55</v>
      </c>
      <c r="C82" s="117" t="s">
        <v>22</v>
      </c>
      <c r="D82" s="141"/>
      <c r="E82" s="118"/>
      <c r="F82" s="4"/>
    </row>
    <row r="83" spans="1:6" s="6" customFormat="1" ht="15" customHeight="1" x14ac:dyDescent="0.2">
      <c r="B83" s="30" t="s">
        <v>56</v>
      </c>
      <c r="C83" s="119">
        <f>C24*8.93%</f>
        <v>166.59065894373239</v>
      </c>
      <c r="D83" s="119"/>
      <c r="E83" s="120"/>
      <c r="F83" s="52"/>
    </row>
    <row r="84" spans="1:6" s="3" customFormat="1" ht="15" customHeight="1" x14ac:dyDescent="0.2">
      <c r="B84" s="26" t="s">
        <v>57</v>
      </c>
      <c r="C84" s="123">
        <f>C24*1.66%</f>
        <v>30.967580497939061</v>
      </c>
      <c r="D84" s="123"/>
      <c r="E84" s="124"/>
      <c r="F84" s="4"/>
    </row>
    <row r="85" spans="1:6" s="3" customFormat="1" ht="15" customHeight="1" x14ac:dyDescent="0.2">
      <c r="B85" s="26" t="s">
        <v>58</v>
      </c>
      <c r="C85" s="123">
        <f>C24*0.02%</f>
        <v>0.37310337949324174</v>
      </c>
      <c r="D85" s="123"/>
      <c r="E85" s="124"/>
      <c r="F85" s="4"/>
    </row>
    <row r="86" spans="1:6" s="3" customFormat="1" ht="15" customHeight="1" x14ac:dyDescent="0.2">
      <c r="B86" s="26" t="s">
        <v>59</v>
      </c>
      <c r="C86" s="123">
        <f>C24*0.73%</f>
        <v>13.618273351503323</v>
      </c>
      <c r="D86" s="123"/>
      <c r="E86" s="124"/>
      <c r="F86" s="4"/>
    </row>
    <row r="87" spans="1:6" s="3" customFormat="1" ht="15" customHeight="1" x14ac:dyDescent="0.2">
      <c r="B87" s="26" t="s">
        <v>60</v>
      </c>
      <c r="C87" s="123">
        <f>C24*0.03%</f>
        <v>0.55965506923986252</v>
      </c>
      <c r="D87" s="123"/>
      <c r="E87" s="124"/>
    </row>
    <row r="88" spans="1:6" s="3" customFormat="1" ht="15" customHeight="1" x14ac:dyDescent="0.2">
      <c r="B88" s="42" t="s">
        <v>93</v>
      </c>
      <c r="C88" s="133">
        <v>0</v>
      </c>
      <c r="D88" s="134"/>
      <c r="E88" s="135"/>
    </row>
    <row r="89" spans="1:6" s="3" customFormat="1" ht="15" customHeight="1" x14ac:dyDescent="0.2">
      <c r="A89" s="7"/>
      <c r="B89" s="26" t="s">
        <v>61</v>
      </c>
      <c r="C89" s="123">
        <f>SUM(C83:E88)*(C54/100)</f>
        <v>84.419489954279328</v>
      </c>
      <c r="D89" s="123"/>
      <c r="E89" s="124"/>
    </row>
    <row r="90" spans="1:6" s="3" customFormat="1" ht="15" customHeight="1" thickBot="1" x14ac:dyDescent="0.25">
      <c r="A90" s="7"/>
      <c r="B90" s="27" t="s">
        <v>4</v>
      </c>
      <c r="C90" s="125">
        <f>SUM(C83:E89)</f>
        <v>296.52876119618719</v>
      </c>
      <c r="D90" s="139"/>
      <c r="E90" s="140"/>
    </row>
    <row r="91" spans="1:6" s="6" customFormat="1" ht="15" customHeight="1" thickBot="1" x14ac:dyDescent="0.25">
      <c r="A91" s="3"/>
      <c r="B91" s="5"/>
      <c r="C91" s="1"/>
      <c r="D91" s="1"/>
      <c r="E91" s="1"/>
    </row>
    <row r="92" spans="1:6" s="6" customFormat="1" ht="15" customHeight="1" thickBot="1" x14ac:dyDescent="0.25">
      <c r="A92" s="3"/>
      <c r="B92" s="116" t="s">
        <v>62</v>
      </c>
      <c r="C92" s="116"/>
      <c r="D92" s="116"/>
      <c r="E92" s="116"/>
    </row>
    <row r="93" spans="1:6" s="6" customFormat="1" ht="15" customHeight="1" thickBot="1" x14ac:dyDescent="0.25">
      <c r="A93" s="3"/>
      <c r="B93" s="29" t="s">
        <v>63</v>
      </c>
      <c r="C93" s="117" t="s">
        <v>22</v>
      </c>
      <c r="D93" s="141"/>
      <c r="E93" s="118"/>
    </row>
    <row r="94" spans="1:6" s="6" customFormat="1" ht="15" customHeight="1" x14ac:dyDescent="0.2">
      <c r="A94" s="3"/>
      <c r="B94" s="30" t="s">
        <v>76</v>
      </c>
      <c r="C94" s="119">
        <f>D54</f>
        <v>742.47572519155108</v>
      </c>
      <c r="D94" s="119"/>
      <c r="E94" s="120"/>
    </row>
    <row r="95" spans="1:6" s="6" customFormat="1" ht="15" customHeight="1" x14ac:dyDescent="0.2">
      <c r="A95" s="3"/>
      <c r="B95" s="26" t="s">
        <v>64</v>
      </c>
      <c r="C95" s="123">
        <f>C63</f>
        <v>289.69002498566249</v>
      </c>
      <c r="D95" s="123"/>
      <c r="E95" s="124"/>
    </row>
    <row r="96" spans="1:6" s="6" customFormat="1" ht="15" customHeight="1" x14ac:dyDescent="0.2">
      <c r="A96" s="3"/>
      <c r="B96" s="26" t="s">
        <v>65</v>
      </c>
      <c r="C96" s="123">
        <f>C69</f>
        <v>0.18390542882131145</v>
      </c>
      <c r="D96" s="123"/>
      <c r="E96" s="124"/>
    </row>
    <row r="97" spans="1:6" s="6" customFormat="1" ht="15" customHeight="1" x14ac:dyDescent="0.2">
      <c r="A97" s="3"/>
      <c r="B97" s="26" t="s">
        <v>66</v>
      </c>
      <c r="C97" s="123">
        <f>C79</f>
        <v>136.50630120250906</v>
      </c>
      <c r="D97" s="123"/>
      <c r="E97" s="124"/>
    </row>
    <row r="98" spans="1:6" s="6" customFormat="1" ht="15" customHeight="1" x14ac:dyDescent="0.2">
      <c r="A98" s="3"/>
      <c r="B98" s="26" t="s">
        <v>67</v>
      </c>
      <c r="C98" s="123">
        <f>C90</f>
        <v>296.52876119618719</v>
      </c>
      <c r="D98" s="123"/>
      <c r="E98" s="124"/>
    </row>
    <row r="99" spans="1:6" s="6" customFormat="1" ht="15" customHeight="1" x14ac:dyDescent="0.2">
      <c r="A99" s="3"/>
      <c r="B99" s="26" t="s">
        <v>68</v>
      </c>
      <c r="C99" s="133"/>
      <c r="D99" s="134"/>
      <c r="E99" s="135"/>
    </row>
    <row r="100" spans="1:6" s="6" customFormat="1" ht="15" customHeight="1" thickBot="1" x14ac:dyDescent="0.25">
      <c r="A100" s="3"/>
      <c r="B100" s="27" t="s">
        <v>4</v>
      </c>
      <c r="C100" s="125">
        <f>SUM(C94:E99)</f>
        <v>1465.3847180047312</v>
      </c>
      <c r="D100" s="139"/>
      <c r="E100" s="140"/>
      <c r="F100" s="37"/>
    </row>
    <row r="101" spans="1:6" s="6" customFormat="1" ht="15" customHeight="1" thickBot="1" x14ac:dyDescent="0.25">
      <c r="A101" s="3"/>
      <c r="B101" s="5"/>
      <c r="C101" s="1"/>
      <c r="D101" s="1"/>
      <c r="E101" s="1"/>
    </row>
    <row r="102" spans="1:6" s="6" customFormat="1" ht="15" customHeight="1" thickBot="1" x14ac:dyDescent="0.25">
      <c r="A102" s="3"/>
      <c r="B102" s="115" t="s">
        <v>69</v>
      </c>
      <c r="C102" s="115"/>
      <c r="D102" s="115"/>
      <c r="E102" s="115"/>
    </row>
    <row r="103" spans="1:6" s="6" customFormat="1" ht="15" customHeight="1" thickBot="1" x14ac:dyDescent="0.25">
      <c r="A103" s="3"/>
      <c r="B103" s="29" t="s">
        <v>70</v>
      </c>
      <c r="C103" s="28" t="s">
        <v>3</v>
      </c>
      <c r="D103" s="117" t="s">
        <v>22</v>
      </c>
      <c r="E103" s="118"/>
    </row>
    <row r="104" spans="1:6" s="6" customFormat="1" ht="15" customHeight="1" x14ac:dyDescent="0.2">
      <c r="A104" s="3"/>
      <c r="B104" s="30" t="s">
        <v>71</v>
      </c>
      <c r="C104" s="51">
        <v>5</v>
      </c>
      <c r="D104" s="119">
        <f>(C100+C41+C34+C24)*C104/100</f>
        <v>189.83490077354699</v>
      </c>
      <c r="E104" s="120"/>
    </row>
    <row r="105" spans="1:6" s="6" customFormat="1" ht="15" customHeight="1" x14ac:dyDescent="0.2">
      <c r="A105" s="3"/>
      <c r="B105" s="26" t="s">
        <v>72</v>
      </c>
      <c r="C105" s="24"/>
      <c r="D105" s="123"/>
      <c r="E105" s="124"/>
    </row>
    <row r="106" spans="1:6" s="6" customFormat="1" ht="15" customHeight="1" x14ac:dyDescent="0.2">
      <c r="A106" s="3"/>
      <c r="B106" s="42" t="s">
        <v>107</v>
      </c>
      <c r="C106" s="24">
        <f>0.65+3</f>
        <v>3.65</v>
      </c>
      <c r="D106" s="123">
        <f>((C100+C41+C34+C24+D104+D110)/(1-(C106+C108)/100))*(C106/100)</f>
        <v>175.21543140363013</v>
      </c>
      <c r="E106" s="124"/>
    </row>
    <row r="107" spans="1:6" s="6" customFormat="1" ht="15" customHeight="1" x14ac:dyDescent="0.2">
      <c r="A107" s="3"/>
      <c r="B107" s="26" t="s">
        <v>73</v>
      </c>
      <c r="C107" s="24"/>
      <c r="D107" s="123"/>
      <c r="E107" s="124"/>
    </row>
    <row r="108" spans="1:6" s="6" customFormat="1" ht="15" customHeight="1" x14ac:dyDescent="0.2">
      <c r="A108" s="3"/>
      <c r="B108" s="26" t="s">
        <v>77</v>
      </c>
      <c r="C108" s="24">
        <v>5</v>
      </c>
      <c r="D108" s="123">
        <f>((C100+C41+C34+C24+D104+D110)/(1-(C106+C108)/100))*(C108/100)</f>
        <v>240.02113890908242</v>
      </c>
      <c r="E108" s="124"/>
    </row>
    <row r="109" spans="1:6" s="6" customFormat="1" ht="15" customHeight="1" x14ac:dyDescent="0.2">
      <c r="A109" s="3"/>
      <c r="B109" s="26" t="s">
        <v>74</v>
      </c>
      <c r="C109" s="24"/>
      <c r="D109" s="123"/>
      <c r="E109" s="124"/>
    </row>
    <row r="110" spans="1:6" s="6" customFormat="1" ht="15" customHeight="1" x14ac:dyDescent="0.2">
      <c r="A110" s="3"/>
      <c r="B110" s="26" t="s">
        <v>75</v>
      </c>
      <c r="C110" s="50">
        <v>10</v>
      </c>
      <c r="D110" s="123">
        <f>(C100+C41+C34+C24+D104)*C110/100</f>
        <v>398.65329162444868</v>
      </c>
      <c r="E110" s="124"/>
    </row>
    <row r="111" spans="1:6" s="6" customFormat="1" ht="15" customHeight="1" thickBot="1" x14ac:dyDescent="0.25">
      <c r="A111" s="3"/>
      <c r="B111" s="27" t="s">
        <v>4</v>
      </c>
      <c r="C111" s="36">
        <f>SUM(C104:C110)</f>
        <v>23.65</v>
      </c>
      <c r="D111" s="125">
        <f>SUM(D104:E110)</f>
        <v>1003.7247627107082</v>
      </c>
      <c r="E111" s="126"/>
    </row>
    <row r="112" spans="1:6" s="6" customFormat="1" ht="15" customHeight="1" x14ac:dyDescent="0.2">
      <c r="A112" s="3"/>
      <c r="B112" s="5"/>
      <c r="C112" s="1"/>
      <c r="D112" s="1"/>
      <c r="E112" s="1"/>
    </row>
    <row r="113" spans="1:5" s="6" customFormat="1" ht="15" customHeight="1" x14ac:dyDescent="0.2">
      <c r="A113" s="3"/>
      <c r="B113" s="55" t="s">
        <v>78</v>
      </c>
      <c r="C113" s="56"/>
      <c r="D113" s="56"/>
      <c r="E113" s="56"/>
    </row>
    <row r="114" spans="1:5" s="6" customFormat="1" ht="15" customHeight="1" x14ac:dyDescent="0.2">
      <c r="A114" s="3"/>
      <c r="B114" s="56" t="s">
        <v>79</v>
      </c>
      <c r="C114" s="56"/>
      <c r="D114" s="56"/>
      <c r="E114" s="56"/>
    </row>
    <row r="115" spans="1:5" s="6" customFormat="1" ht="15" customHeight="1" thickBot="1" x14ac:dyDescent="0.25">
      <c r="A115" s="3"/>
      <c r="B115" s="5"/>
      <c r="C115" s="1"/>
      <c r="D115" s="1"/>
      <c r="E115" s="1"/>
    </row>
    <row r="116" spans="1:5" s="6" customFormat="1" ht="15" customHeight="1" thickBot="1" x14ac:dyDescent="0.25">
      <c r="A116" s="3"/>
      <c r="B116" s="29" t="s">
        <v>80</v>
      </c>
      <c r="C116" s="117" t="s">
        <v>22</v>
      </c>
      <c r="D116" s="141"/>
      <c r="E116" s="118"/>
    </row>
    <row r="117" spans="1:5" s="6" customFormat="1" ht="15" customHeight="1" x14ac:dyDescent="0.2">
      <c r="A117" s="3"/>
      <c r="B117" s="30" t="s">
        <v>83</v>
      </c>
      <c r="C117" s="119">
        <f>C24</f>
        <v>1865.5168974662085</v>
      </c>
      <c r="D117" s="119"/>
      <c r="E117" s="120"/>
    </row>
    <row r="118" spans="1:5" s="6" customFormat="1" ht="15" customHeight="1" x14ac:dyDescent="0.2">
      <c r="A118" s="3"/>
      <c r="B118" s="26" t="s">
        <v>84</v>
      </c>
      <c r="C118" s="123">
        <f>C34</f>
        <v>350.40139999999997</v>
      </c>
      <c r="D118" s="123"/>
      <c r="E118" s="124"/>
    </row>
    <row r="119" spans="1:5" s="6" customFormat="1" ht="15" customHeight="1" x14ac:dyDescent="0.2">
      <c r="A119" s="3"/>
      <c r="B119" s="26" t="s">
        <v>85</v>
      </c>
      <c r="C119" s="123">
        <f>C41</f>
        <v>115.39500000000001</v>
      </c>
      <c r="D119" s="123"/>
      <c r="E119" s="124"/>
    </row>
    <row r="120" spans="1:5" s="6" customFormat="1" ht="15" customHeight="1" x14ac:dyDescent="0.2">
      <c r="A120" s="3"/>
      <c r="B120" s="26" t="s">
        <v>86</v>
      </c>
      <c r="C120" s="123">
        <f>C100</f>
        <v>1465.3847180047312</v>
      </c>
      <c r="D120" s="123"/>
      <c r="E120" s="124"/>
    </row>
    <row r="121" spans="1:5" s="6" customFormat="1" ht="15" customHeight="1" x14ac:dyDescent="0.2">
      <c r="A121" s="3"/>
      <c r="B121" s="38" t="s">
        <v>81</v>
      </c>
      <c r="C121" s="148">
        <f>SUM(C117:E120)</f>
        <v>3796.6980154709399</v>
      </c>
      <c r="D121" s="148"/>
      <c r="E121" s="149"/>
    </row>
    <row r="122" spans="1:5" s="6" customFormat="1" ht="15" customHeight="1" x14ac:dyDescent="0.2">
      <c r="A122" s="3"/>
      <c r="B122" s="26" t="s">
        <v>87</v>
      </c>
      <c r="C122" s="133">
        <f>D111</f>
        <v>1003.7247627107082</v>
      </c>
      <c r="D122" s="134"/>
      <c r="E122" s="135"/>
    </row>
    <row r="123" spans="1:5" s="6" customFormat="1" ht="15" customHeight="1" thickBot="1" x14ac:dyDescent="0.25">
      <c r="A123" s="3"/>
      <c r="B123" s="27" t="s">
        <v>82</v>
      </c>
      <c r="C123" s="142">
        <f>SUM(C121:E122)</f>
        <v>4800.422778181648</v>
      </c>
      <c r="D123" s="143"/>
      <c r="E123" s="144"/>
    </row>
    <row r="124" spans="1:5" s="6" customFormat="1" ht="15" customHeight="1" thickBot="1" x14ac:dyDescent="0.25">
      <c r="A124" s="3"/>
      <c r="B124" s="27" t="s">
        <v>108</v>
      </c>
      <c r="C124" s="150">
        <f>C123*2</f>
        <v>9600.8455563632961</v>
      </c>
      <c r="D124" s="150"/>
      <c r="E124" s="151"/>
    </row>
    <row r="125" spans="1:5" s="6" customFormat="1" ht="15" customHeight="1" thickBot="1" x14ac:dyDescent="0.25">
      <c r="A125" s="3"/>
      <c r="B125" s="40" t="s">
        <v>2</v>
      </c>
      <c r="C125" s="145">
        <f>C123/C24</f>
        <v>2.5732400412463172</v>
      </c>
      <c r="D125" s="146"/>
      <c r="E125" s="147"/>
    </row>
    <row r="126" spans="1:5" s="6" customFormat="1" ht="15" customHeight="1" x14ac:dyDescent="0.2">
      <c r="A126" s="3"/>
      <c r="B126" s="5"/>
      <c r="C126" s="1"/>
      <c r="D126" s="1"/>
      <c r="E126" s="1"/>
    </row>
  </sheetData>
  <mergeCells count="112">
    <mergeCell ref="C123:E123"/>
    <mergeCell ref="C125:E125"/>
    <mergeCell ref="D111:E111"/>
    <mergeCell ref="B113:E113"/>
    <mergeCell ref="B114:E114"/>
    <mergeCell ref="C116:E116"/>
    <mergeCell ref="C117:E117"/>
    <mergeCell ref="C118:E118"/>
    <mergeCell ref="C119:E119"/>
    <mergeCell ref="C120:E120"/>
    <mergeCell ref="C121:E121"/>
    <mergeCell ref="C124:E124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C122:E122"/>
    <mergeCell ref="C93:E93"/>
    <mergeCell ref="C94:E94"/>
    <mergeCell ref="C95:E95"/>
    <mergeCell ref="C96:E96"/>
    <mergeCell ref="C97:E97"/>
    <mergeCell ref="C98:E98"/>
    <mergeCell ref="C99:E99"/>
    <mergeCell ref="C100:E100"/>
    <mergeCell ref="B102:E102"/>
    <mergeCell ref="C83:E83"/>
    <mergeCell ref="C84:E84"/>
    <mergeCell ref="C85:E85"/>
    <mergeCell ref="C86:E86"/>
    <mergeCell ref="C87:E87"/>
    <mergeCell ref="C88:E88"/>
    <mergeCell ref="C89:E89"/>
    <mergeCell ref="C90:E90"/>
    <mergeCell ref="B92:E92"/>
    <mergeCell ref="C73:E73"/>
    <mergeCell ref="C74:E74"/>
    <mergeCell ref="C75:E75"/>
    <mergeCell ref="C76:E76"/>
    <mergeCell ref="C77:E77"/>
    <mergeCell ref="C78:E78"/>
    <mergeCell ref="C79:E79"/>
    <mergeCell ref="B81:E81"/>
    <mergeCell ref="C82:E82"/>
    <mergeCell ref="C62:E62"/>
    <mergeCell ref="C63:E63"/>
    <mergeCell ref="B65:E65"/>
    <mergeCell ref="C66:E66"/>
    <mergeCell ref="C67:E67"/>
    <mergeCell ref="C68:E68"/>
    <mergeCell ref="C69:E69"/>
    <mergeCell ref="B71:E71"/>
    <mergeCell ref="C72:E72"/>
    <mergeCell ref="D51:E51"/>
    <mergeCell ref="D52:E52"/>
    <mergeCell ref="D53:E53"/>
    <mergeCell ref="D54:E54"/>
    <mergeCell ref="B57:E57"/>
    <mergeCell ref="C58:E58"/>
    <mergeCell ref="C59:E59"/>
    <mergeCell ref="C60:E60"/>
    <mergeCell ref="C61:E61"/>
    <mergeCell ref="B42:E42"/>
    <mergeCell ref="B43:E43"/>
    <mergeCell ref="B44:E44"/>
    <mergeCell ref="D45:E45"/>
    <mergeCell ref="D46:E46"/>
    <mergeCell ref="D47:E47"/>
    <mergeCell ref="D48:E48"/>
    <mergeCell ref="D49:E49"/>
    <mergeCell ref="D50:E50"/>
    <mergeCell ref="C33:E33"/>
    <mergeCell ref="C34:E34"/>
    <mergeCell ref="B35:E35"/>
    <mergeCell ref="B36:E36"/>
    <mergeCell ref="C37:E37"/>
    <mergeCell ref="C38:E38"/>
    <mergeCell ref="C39:E39"/>
    <mergeCell ref="C40:E40"/>
    <mergeCell ref="C41:E41"/>
    <mergeCell ref="C24:E24"/>
    <mergeCell ref="B25:E25"/>
    <mergeCell ref="B26:E26"/>
    <mergeCell ref="C27:E27"/>
    <mergeCell ref="C28:E28"/>
    <mergeCell ref="C29:E29"/>
    <mergeCell ref="C30:E30"/>
    <mergeCell ref="C31:E31"/>
    <mergeCell ref="C32:E32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1:E1"/>
    <mergeCell ref="C6:E6"/>
    <mergeCell ref="C9:E9"/>
    <mergeCell ref="C10:E10"/>
    <mergeCell ref="C11:E11"/>
    <mergeCell ref="B14:E14"/>
    <mergeCell ref="C8:E8"/>
    <mergeCell ref="C3:E3"/>
    <mergeCell ref="C4:E4"/>
    <mergeCell ref="C7:E7"/>
  </mergeCells>
  <pageMargins left="0.78749999999999998" right="0.78749999999999998" top="1.0527777777777778" bottom="1.0527777777777778" header="0.78749999999999998" footer="0.78749999999999998"/>
  <pageSetup paperSize="9" scale="58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colBreaks count="1" manualBreakCount="1">
    <brk id="5" min="10" max="142" man="1"/>
  </colBreaks>
  <ignoredErrors>
    <ignoredError sqref="C28:C29 C40:C41 C34 C17:C19 C21:C22 C23 C38" unlockedFormula="1"/>
    <ignoredError sqref="C6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12x36N</vt:lpstr>
      <vt:lpstr>'12x36N'!Area_de_impressao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 Brasil Santos</dc:creator>
  <cp:lastModifiedBy>Alunos</cp:lastModifiedBy>
  <cp:lastPrinted>2011-10-07T21:01:40Z</cp:lastPrinted>
  <dcterms:created xsi:type="dcterms:W3CDTF">2011-10-09T16:09:02Z</dcterms:created>
  <dcterms:modified xsi:type="dcterms:W3CDTF">2016-06-29T16:57:25Z</dcterms:modified>
</cp:coreProperties>
</file>